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/>
  </bookViews>
  <sheets>
    <sheet name="1 pr.pajamos" sheetId="22" r:id="rId1"/>
    <sheet name="3 pr.kitos spec. tiksl. dot." sheetId="20" r:id="rId2"/>
    <sheet name="7 pr. savivaldybės" sheetId="17" r:id="rId3"/>
    <sheet name="8 pr. asignav. valdytojus" sheetId="6" r:id="rId4"/>
    <sheet name="10 pr. bendros išlaidos" sheetId="15" r:id="rId5"/>
    <sheet name="Lapas3" sheetId="3" r:id="rId6"/>
  </sheets>
  <calcPr calcId="125725" iterateDelta="1E-4"/>
</workbook>
</file>

<file path=xl/calcChain.xml><?xml version="1.0" encoding="utf-8"?>
<calcChain xmlns="http://schemas.openxmlformats.org/spreadsheetml/2006/main">
  <c r="G43" i="15"/>
  <c r="D43"/>
  <c r="F31"/>
  <c r="D31"/>
  <c r="F98" i="6"/>
  <c r="C98"/>
  <c r="C49"/>
  <c r="C99"/>
  <c r="E51"/>
  <c r="C51"/>
  <c r="D51"/>
  <c r="H108" i="17"/>
  <c r="E108"/>
  <c r="D51" i="22"/>
  <c r="G82" i="17"/>
  <c r="E82"/>
  <c r="C72" i="6"/>
  <c r="C41"/>
  <c r="E70" i="17"/>
  <c r="E76"/>
  <c r="F76"/>
  <c r="F71"/>
  <c r="E33" i="15"/>
  <c r="D15"/>
  <c r="F18"/>
  <c r="D18"/>
  <c r="D87" i="6"/>
  <c r="C58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8"/>
  <c r="C18"/>
  <c r="E19"/>
  <c r="C19"/>
  <c r="E16"/>
  <c r="C16"/>
  <c r="E17"/>
  <c r="C17"/>
  <c r="E15"/>
  <c r="C15"/>
  <c r="E14"/>
  <c r="C14"/>
  <c r="E41" i="17"/>
  <c r="E16"/>
  <c r="F43" i="20"/>
  <c r="G43"/>
  <c r="H43"/>
  <c r="E43"/>
  <c r="F38"/>
  <c r="G38"/>
  <c r="H38"/>
  <c r="F39"/>
  <c r="G39"/>
  <c r="H39"/>
  <c r="E39"/>
  <c r="E38"/>
  <c r="F40"/>
  <c r="E14"/>
  <c r="F32"/>
  <c r="F19"/>
  <c r="F20"/>
  <c r="F21"/>
  <c r="F22"/>
  <c r="F23"/>
  <c r="F24"/>
  <c r="F25"/>
  <c r="F26"/>
  <c r="F27"/>
  <c r="F28"/>
  <c r="F29"/>
  <c r="F30"/>
  <c r="F31"/>
  <c r="F18"/>
  <c r="C27" i="22"/>
  <c r="C30"/>
  <c r="C24"/>
  <c r="C48"/>
  <c r="G44" i="15"/>
  <c r="D44"/>
  <c r="D80" i="6"/>
  <c r="C86"/>
  <c r="C89"/>
  <c r="C74"/>
  <c r="C93"/>
  <c r="C91"/>
  <c r="C90"/>
  <c r="C83"/>
  <c r="C73"/>
  <c r="C62"/>
  <c r="C55"/>
  <c r="C54"/>
  <c r="C40"/>
  <c r="C39"/>
  <c r="D39"/>
  <c r="C38"/>
  <c r="C48"/>
  <c r="C34"/>
  <c r="C31"/>
  <c r="C29"/>
  <c r="D14"/>
  <c r="E106" i="17"/>
  <c r="E69"/>
  <c r="E68"/>
  <c r="E67"/>
  <c r="E36"/>
  <c r="F74"/>
  <c r="E52"/>
  <c r="E73"/>
  <c r="E71"/>
  <c r="E63"/>
  <c r="E96"/>
  <c r="E95"/>
  <c r="E47"/>
  <c r="F16"/>
  <c r="E100"/>
  <c r="E101"/>
  <c r="E85"/>
  <c r="E72"/>
  <c r="E39"/>
  <c r="F39"/>
  <c r="G14" i="20"/>
  <c r="H14"/>
  <c r="H42"/>
  <c r="E42"/>
  <c r="F15"/>
  <c r="C28" i="22"/>
  <c r="D96" i="6"/>
  <c r="D95"/>
  <c r="D83"/>
  <c r="D41"/>
  <c r="D35"/>
  <c r="E15" i="15"/>
  <c r="E16"/>
  <c r="F14"/>
  <c r="G14"/>
  <c r="E17"/>
  <c r="E18"/>
  <c r="E19"/>
  <c r="E20"/>
  <c r="G21"/>
  <c r="E22"/>
  <c r="D21"/>
  <c r="F21"/>
  <c r="E24"/>
  <c r="E25"/>
  <c r="E26"/>
  <c r="G27"/>
  <c r="E28"/>
  <c r="E29"/>
  <c r="F27"/>
  <c r="F30"/>
  <c r="G30"/>
  <c r="D30"/>
  <c r="E31"/>
  <c r="E32"/>
  <c r="E34"/>
  <c r="E35"/>
  <c r="F36"/>
  <c r="G36"/>
  <c r="E37"/>
  <c r="F38"/>
  <c r="D38"/>
  <c r="E39"/>
  <c r="E40"/>
  <c r="E41"/>
  <c r="G38"/>
  <c r="F42"/>
  <c r="G42"/>
  <c r="E43"/>
  <c r="E42"/>
  <c r="D42"/>
  <c r="D15" i="6"/>
  <c r="D16"/>
  <c r="D17"/>
  <c r="D18"/>
  <c r="D20"/>
  <c r="D21"/>
  <c r="D22"/>
  <c r="D23"/>
  <c r="D24"/>
  <c r="D25"/>
  <c r="D26"/>
  <c r="D27"/>
  <c r="D28"/>
  <c r="D31"/>
  <c r="D32"/>
  <c r="D33"/>
  <c r="D34"/>
  <c r="D36"/>
  <c r="D38"/>
  <c r="D40"/>
  <c r="D42"/>
  <c r="D43"/>
  <c r="D44"/>
  <c r="D45"/>
  <c r="D47"/>
  <c r="D48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7"/>
  <c r="D78"/>
  <c r="D79"/>
  <c r="D81"/>
  <c r="D82"/>
  <c r="D84"/>
  <c r="D85"/>
  <c r="D86"/>
  <c r="D88"/>
  <c r="D89"/>
  <c r="D91"/>
  <c r="D92"/>
  <c r="D93"/>
  <c r="D94"/>
  <c r="D97"/>
  <c r="F17" i="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E37"/>
  <c r="E15"/>
  <c r="G37"/>
  <c r="G15"/>
  <c r="H37"/>
  <c r="H15"/>
  <c r="F38"/>
  <c r="F40"/>
  <c r="F41"/>
  <c r="F42"/>
  <c r="F43"/>
  <c r="F45"/>
  <c r="F46"/>
  <c r="F47"/>
  <c r="F48"/>
  <c r="E49"/>
  <c r="E44"/>
  <c r="G49"/>
  <c r="G44"/>
  <c r="H49"/>
  <c r="H44"/>
  <c r="F50"/>
  <c r="F51"/>
  <c r="F52"/>
  <c r="F53"/>
  <c r="F54"/>
  <c r="F55"/>
  <c r="F56"/>
  <c r="F57"/>
  <c r="F58"/>
  <c r="F59"/>
  <c r="F60"/>
  <c r="F61"/>
  <c r="F62"/>
  <c r="F64"/>
  <c r="F65"/>
  <c r="F66"/>
  <c r="F67"/>
  <c r="F68"/>
  <c r="F69"/>
  <c r="F70"/>
  <c r="G71"/>
  <c r="G63"/>
  <c r="F72"/>
  <c r="H71"/>
  <c r="H63"/>
  <c r="F77"/>
  <c r="F78"/>
  <c r="E80"/>
  <c r="E79"/>
  <c r="G80"/>
  <c r="G79"/>
  <c r="H80"/>
  <c r="H79"/>
  <c r="F81"/>
  <c r="F82"/>
  <c r="F83"/>
  <c r="F84"/>
  <c r="F85"/>
  <c r="F86"/>
  <c r="F87"/>
  <c r="F88"/>
  <c r="F89"/>
  <c r="F90"/>
  <c r="E92"/>
  <c r="E91"/>
  <c r="G92"/>
  <c r="G91"/>
  <c r="H92"/>
  <c r="H91"/>
  <c r="F93"/>
  <c r="F94"/>
  <c r="F95"/>
  <c r="F96"/>
  <c r="E98"/>
  <c r="E97"/>
  <c r="G98"/>
  <c r="G97"/>
  <c r="H98"/>
  <c r="H97"/>
  <c r="F99"/>
  <c r="F100"/>
  <c r="F101"/>
  <c r="F102"/>
  <c r="F103"/>
  <c r="F104"/>
  <c r="F105"/>
  <c r="F106"/>
  <c r="E107"/>
  <c r="G107"/>
  <c r="H107"/>
  <c r="H109"/>
  <c r="F108"/>
  <c r="F107"/>
  <c r="E33" i="20"/>
  <c r="F33"/>
  <c r="G33"/>
  <c r="H33"/>
  <c r="F34"/>
  <c r="E35"/>
  <c r="F35"/>
  <c r="G35"/>
  <c r="H35"/>
  <c r="F36"/>
  <c r="F37"/>
  <c r="E41"/>
  <c r="G41"/>
  <c r="H41"/>
  <c r="F42"/>
  <c r="C12" i="22"/>
  <c r="C15"/>
  <c r="C14"/>
  <c r="C20"/>
  <c r="C34"/>
  <c r="C38"/>
  <c r="C42"/>
  <c r="C45"/>
  <c r="C32"/>
  <c r="E36" i="15"/>
  <c r="F45"/>
  <c r="E30"/>
  <c r="E38"/>
  <c r="E27"/>
  <c r="G45"/>
  <c r="E14"/>
  <c r="D14"/>
  <c r="D36"/>
  <c r="D27"/>
  <c r="E23"/>
  <c r="E21"/>
  <c r="F75" i="17"/>
  <c r="F98"/>
  <c r="F97"/>
  <c r="E49" i="6"/>
  <c r="E99"/>
  <c r="D19"/>
  <c r="D29"/>
  <c r="D98"/>
  <c r="D90"/>
  <c r="D76"/>
  <c r="F49"/>
  <c r="F99"/>
  <c r="D50"/>
  <c r="D46"/>
  <c r="D37"/>
  <c r="D30"/>
  <c r="C11" i="22"/>
  <c r="D45" i="15"/>
  <c r="E44"/>
  <c r="F92" i="17"/>
  <c r="F91"/>
  <c r="F80"/>
  <c r="F79"/>
  <c r="F73"/>
  <c r="F49"/>
  <c r="F44"/>
  <c r="F37"/>
  <c r="F15"/>
  <c r="F41" i="20"/>
  <c r="F14"/>
  <c r="F63" i="17"/>
  <c r="E45" i="15"/>
  <c r="D49" i="6"/>
  <c r="D99"/>
  <c r="G109" i="17"/>
  <c r="F109"/>
  <c r="E109"/>
</calcChain>
</file>

<file path=xl/sharedStrings.xml><?xml version="1.0" encoding="utf-8"?>
<sst xmlns="http://schemas.openxmlformats.org/spreadsheetml/2006/main" count="835" uniqueCount="369">
  <si>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</si>
  <si>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</si>
  <si>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</si>
  <si>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</si>
  <si>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</si>
  <si>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</si>
  <si>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</si>
  <si>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</si>
  <si>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</si>
  <si>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</si>
  <si>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</si>
  <si>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</si>
  <si>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</si>
  <si>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</si>
  <si>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</si>
  <si>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</si>
  <si>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</si>
  <si>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</si>
  <si>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</si>
  <si>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</si>
  <si>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</si>
  <si>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</si>
  <si>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</si>
  <si>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</si>
  <si>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</si>
  <si>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</si>
  <si>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</si>
  <si>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</si>
  <si>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</si>
  <si>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</si>
  <si>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</si>
  <si>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</si>
  <si>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</si>
  <si>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</si>
  <si>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</si>
  <si>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</si>
  <si>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</si>
  <si>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</si>
  <si>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</si>
  <si>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</si>
  <si>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</si>
  <si>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</si>
  <si>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</si>
  <si>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</si>
  <si>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</si>
  <si>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</si>
  <si>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</si>
  <si>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</si>
  <si>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</si>
  <si>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______________________</t>
  </si>
  <si>
    <t>Programa / Asignavimų valdytojas</t>
  </si>
  <si>
    <t>ilgalaikiam turtui</t>
  </si>
  <si>
    <t>01.21</t>
  </si>
  <si>
    <t>Prienų meno mokykla</t>
  </si>
  <si>
    <t>Prienų švietimo centras</t>
  </si>
  <si>
    <t>01.23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</si>
  <si>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</si>
  <si>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</si>
  <si>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</si>
  <si>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</si>
  <si>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</si>
  <si>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</si>
  <si>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</si>
  <si>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</si>
  <si>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</si>
  <si>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</si>
  <si>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</si>
  <si>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</si>
  <si>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</si>
  <si>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</si>
  <si>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</si>
  <si>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</si>
  <si>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</si>
  <si>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</si>
  <si>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</si>
  <si>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</si>
  <si>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</si>
  <si>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</si>
  <si>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</si>
  <si>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</si>
  <si>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</si>
  <si>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</si>
  <si>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</si>
  <si>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</si>
  <si>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Jiezno vaikų globos namai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</si>
  <si>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</si>
  <si>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</si>
  <si>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</si>
  <si>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</si>
  <si>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</si>
  <si>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</si>
  <si>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</si>
  <si>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</si>
  <si>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</si>
  <si>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</si>
  <si>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</si>
  <si>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</si>
  <si>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</si>
  <si>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</si>
  <si>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</si>
  <si>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</si>
  <si>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</si>
  <si>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</si>
  <si>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</si>
  <si>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</si>
  <si>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</si>
  <si>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</si>
  <si>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</si>
  <si>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</si>
  <si>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</si>
  <si>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</si>
  <si>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</si>
  <si>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</si>
  <si>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</si>
  <si>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Savivaldybės administracija:</t>
  </si>
  <si>
    <t>Aplinkos apsaugos, verslo rėmimo ir kaimo plėtros programa</t>
  </si>
  <si>
    <t>Programa / Finansavimo šaltiniai</t>
  </si>
  <si>
    <t>Biudžeto lėšos</t>
  </si>
  <si>
    <t>Mokinio krepšeliui finansuoti</t>
  </si>
  <si>
    <t>Valstybinėms funkcijoms atlikti</t>
  </si>
  <si>
    <t>Biudžetinių įstaigų pajamos</t>
  </si>
  <si>
    <t>Asignavimų valdytojas</t>
  </si>
  <si>
    <t>savivaldos institucijos</t>
  </si>
  <si>
    <t>savivaldybės administracija</t>
  </si>
  <si>
    <t>biudžetinės įstaigos pajamos</t>
  </si>
  <si>
    <t>investicijų programa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</si>
  <si>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</si>
  <si>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</si>
  <si>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</si>
  <si>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</si>
  <si>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</si>
  <si>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</si>
  <si>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</si>
  <si>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</si>
  <si>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</si>
  <si>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</si>
  <si>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</si>
  <si>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</si>
  <si>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</si>
  <si>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 xml:space="preserve">mero fondas </t>
  </si>
  <si>
    <t>02.04</t>
  </si>
  <si>
    <t>Balbieriškio kultūros ir laisvalaikio centras</t>
  </si>
  <si>
    <t>Iš viso asignavimų</t>
  </si>
  <si>
    <t>8 priedas</t>
  </si>
  <si>
    <t>3 priedas</t>
  </si>
  <si>
    <t>7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</si>
  <si>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</si>
  <si>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</si>
  <si>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</si>
  <si>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</si>
  <si>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</si>
  <si>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</si>
  <si>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</si>
  <si>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</si>
  <si>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</si>
  <si>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</si>
  <si>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</si>
  <si>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</si>
  <si>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</si>
  <si>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</si>
  <si>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</si>
  <si>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</si>
  <si>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</si>
  <si>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</si>
  <si>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</si>
  <si>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</si>
  <si>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</si>
  <si>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</si>
  <si>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</si>
  <si>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</si>
  <si>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mokinio krepšeliui finansuoti</t>
  </si>
  <si>
    <t>kita tikslinė dotacija</t>
  </si>
  <si>
    <t>Bendrosios dotacijos kompensacija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</si>
  <si>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</si>
  <si>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</si>
  <si>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</si>
  <si>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</si>
  <si>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1.4.</t>
  </si>
  <si>
    <t>mokestis už medžiojamųjų gyvūnų išteklius</t>
  </si>
  <si>
    <t>Pajamos už prekes ir paslaugas:</t>
  </si>
  <si>
    <t>pajamos už patalpų nuomą</t>
  </si>
  <si>
    <t>pajamos už atsitiktines paslaugas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</si>
  <si>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</si>
  <si>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</si>
  <si>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</si>
  <si>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</si>
  <si>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</si>
  <si>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</si>
  <si>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</si>
  <si>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</si>
  <si>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</si>
  <si>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</si>
  <si>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</si>
  <si>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</si>
  <si>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</si>
  <si>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</si>
  <si>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</si>
  <si>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</si>
  <si>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</si>
  <si>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</si>
  <si>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</si>
  <si>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</si>
  <si>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</si>
  <si>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</si>
  <si>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</si>
  <si>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</si>
  <si>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</si>
  <si>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</si>
  <si>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</si>
  <si>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</si>
  <si>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</si>
  <si>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</si>
  <si>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</si>
  <si>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</si>
  <si>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</si>
  <si>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</si>
  <si>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</si>
  <si>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</si>
  <si>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</si>
  <si>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</si>
  <si>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</si>
  <si>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</si>
  <si>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</si>
  <si>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</si>
  <si>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</si>
  <si>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</si>
  <si>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</si>
  <si>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</si>
  <si>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</si>
  <si>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</si>
  <si>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</si>
  <si>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</si>
  <si>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</si>
  <si>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</si>
  <si>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</si>
  <si>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</si>
  <si>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</si>
  <si>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</si>
  <si>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</si>
  <si>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</si>
  <si>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</si>
  <si>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</si>
  <si>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</si>
  <si>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</si>
  <si>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</si>
  <si>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</si>
  <si>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</si>
  <si>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</si>
  <si>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</si>
  <si>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</si>
  <si>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</si>
  <si>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</si>
  <si>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 xml:space="preserve"> </t>
  </si>
  <si>
    <t>valstybės investicijų programoje numatytiems projektams finansuoti</t>
  </si>
  <si>
    <t>76.</t>
  </si>
  <si>
    <t>78.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</si>
  <si>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</si>
  <si>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</si>
  <si>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</si>
  <si>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</si>
  <si>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</si>
  <si>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</si>
  <si>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</si>
  <si>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 xml:space="preserve">Prienų r. Jiezno muzikos mokykla </t>
  </si>
  <si>
    <t>79.</t>
  </si>
  <si>
    <t>80.</t>
  </si>
  <si>
    <t>81.</t>
  </si>
  <si>
    <t>10 priedas</t>
  </si>
  <si>
    <t>savivaldybės administracija (perduotos)</t>
  </si>
  <si>
    <t>Prienų r. Balbieriškio pagrindinė mokykla</t>
  </si>
  <si>
    <t>savivaldos institucija (taryba)</t>
  </si>
  <si>
    <t>1.5.</t>
  </si>
  <si>
    <t>1.6.</t>
  </si>
  <si>
    <t>SPECIALI TIKSLINĖ DOTACIJA, IŠ JOS:</t>
  </si>
  <si>
    <t>kitos dotacijos ir lėšos iš kitų valdymo lygių</t>
  </si>
  <si>
    <t>V.</t>
  </si>
  <si>
    <t>Praėjusių metų biudžeto pajamos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</si>
  <si>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</si>
  <si>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</si>
  <si>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</si>
  <si>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</si>
  <si>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(eurais)</t>
  </si>
  <si>
    <t>Prienų ,,Revuonos“ pagrindinė mokykla</t>
  </si>
  <si>
    <t>Kultūros, sporto, jaunimo ir bendruomenių veiklos aktyvinimo programa</t>
  </si>
  <si>
    <t>neformalusis švietimas</t>
  </si>
  <si>
    <t>socialinės pašalpos</t>
  </si>
  <si>
    <t>Prienų pedagoginė psichologinė tarnyba</t>
  </si>
  <si>
    <t>vadybinės ir pedagoginės veiklos kokybės tobulinimas</t>
  </si>
  <si>
    <t>vaikų socializacija</t>
  </si>
  <si>
    <t>gabių mokinių rėmimas ir skatinimas</t>
  </si>
  <si>
    <t>studijų rėmimas</t>
  </si>
  <si>
    <t>mokinių pavėžėjimas</t>
  </si>
  <si>
    <t>suteiktų priėmimo-skubios pagalbos paslaugų dalinis finansavimas</t>
  </si>
  <si>
    <t>visuomenės sveikatos rėmimas (protezavimas)</t>
  </si>
  <si>
    <t>socialinis rėmimas</t>
  </si>
  <si>
    <t>socialinis rėmimas (paštas)</t>
  </si>
  <si>
    <t>laidojimo pašalpos (sav.)</t>
  </si>
  <si>
    <t>lovų išlaikymas ligoninėse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</si>
  <si>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</si>
  <si>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</si>
  <si>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</si>
  <si>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</si>
  <si>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kūno kultūros ir sporto populiarinimas, sporto ir jaunimo organizacijų, asociacijų, religinių bendruomenių ir bendrijų rėmimas</t>
  </si>
  <si>
    <t>rajono kultūros plėtra</t>
  </si>
  <si>
    <t>turizmo veiklos skatinimas</t>
  </si>
  <si>
    <t>regioninės plėtros veiklų įgyvendinimas</t>
  </si>
  <si>
    <t>nuostolių dengimas</t>
  </si>
  <si>
    <t>aplinkos apsaugos specialusis rėmimas</t>
  </si>
  <si>
    <t>komunalinių atliekų surinkimas ir tvarkymas</t>
  </si>
  <si>
    <t>kaimo plėtros rėmimo programa</t>
  </si>
  <si>
    <t>82.</t>
  </si>
  <si>
    <t>83.</t>
  </si>
  <si>
    <t>84.</t>
  </si>
  <si>
    <t>85.</t>
  </si>
  <si>
    <t>86.</t>
  </si>
  <si>
    <t>87.</t>
  </si>
  <si>
    <t>daugiabučių namų modernizavimas</t>
  </si>
  <si>
    <t>88.</t>
  </si>
  <si>
    <t>89.</t>
  </si>
  <si>
    <t>komunalinio ūkio objektų priežiūra ir plėtra</t>
  </si>
  <si>
    <t>90.</t>
  </si>
  <si>
    <t>91.</t>
  </si>
  <si>
    <t>92.</t>
  </si>
  <si>
    <t>93.</t>
  </si>
  <si>
    <t>94.</t>
  </si>
  <si>
    <t>gabių mokinių skatinimas</t>
  </si>
  <si>
    <t>suteiktų priėmimo-skubiosios pagalbos paslaugų dalinis finansavimas</t>
  </si>
  <si>
    <t>nevyriausybinių organizacijų rėmimas ir būstų pritaikymas neįgaliesiems</t>
  </si>
  <si>
    <t>socialinis rėmimas (pašto išlaidos)</t>
  </si>
  <si>
    <t>kompensacijų mokėjimas</t>
  </si>
  <si>
    <t>smulkaus ir vidutinio verslo subjektų rėmimo programa</t>
  </si>
  <si>
    <t>Kitos tikslinės dotacijos</t>
  </si>
  <si>
    <t>Europos Sąjungos finansinė parama</t>
  </si>
  <si>
    <t>Kita tikslinė dotacija</t>
  </si>
  <si>
    <t>95.</t>
  </si>
  <si>
    <t xml:space="preserve">Pajamos </t>
  </si>
  <si>
    <t>Europos Sąjungos finansinės paramos lėšos</t>
  </si>
  <si>
    <t>,</t>
  </si>
  <si>
    <t>nevyriausybinių organizacijų rėmimas ir neįgaliųjų būsto pritaikymas</t>
  </si>
  <si>
    <t>1 priedas</t>
  </si>
  <si>
    <t>PRIENŲ RAJONO SAVIVALDYBĖS 2017 METŲ BIUDŽETO PAJAMŲ PLANAS</t>
  </si>
  <si>
    <t>Palūkanos už depozitus</t>
  </si>
  <si>
    <t>4.1.</t>
  </si>
  <si>
    <t>6.1.</t>
  </si>
  <si>
    <t>6.2.</t>
  </si>
  <si>
    <t>profesinės aplinkos Prienų r. mokyklose kūrimas</t>
  </si>
  <si>
    <t>suaugusių asmenų išlaikymas globos įstaigose</t>
  </si>
  <si>
    <t>neįgaliųjų draugijos autobuso išlaikymas</t>
  </si>
  <si>
    <t>vietinės reikšmės kelių (gatvių) rekonstravimas, plėtra ir priežiūra (netinkamos išlaidos)</t>
  </si>
  <si>
    <t>keleivių vežimo gerinimas</t>
  </si>
  <si>
    <t xml:space="preserve">PRIENŲ RAJONO SAVIVALDYBĖS 2017 METŲ BIUDŽETO IŠLAIDOS                                                                                        PAGAL ASIGNAVIMŲ VALDYTOJUS </t>
  </si>
  <si>
    <t>kelių programos netinkamos išlaidos</t>
  </si>
  <si>
    <t>PRIENŲ RAJONO SAVIVALDYBĖS 2017 METŲ BIUDŽETO IŠLAIDOS SAVARANKIŠKOSIOMS FUNKCIJOMS VYKDYTI PAGAL ASIGNAVIMŲ VALDYTOJUS</t>
  </si>
  <si>
    <t xml:space="preserve">PRIENŲ RAJONO SAVIVALDYBĖS 2017 METŲ BIUDŽETO IŠLAIDOS                                                                                                                PAGAL  PROGRAMAS IR FINANSAVIMO ŠALTINIUS </t>
  </si>
  <si>
    <t>savivaldybei priklausančių pastatų remontas</t>
  </si>
  <si>
    <t>direktoriaus rezervas</t>
  </si>
  <si>
    <t>BENDROSIOS DOTACIJOS KOMPENSACIJA</t>
  </si>
  <si>
    <t>Prienų  r. Veiverių Antano Kučingio meno mokykla</t>
  </si>
  <si>
    <t>religinių bendrijų rėmimas</t>
  </si>
  <si>
    <t>2017 m. kovo 30 d.</t>
  </si>
  <si>
    <t>kitos paramos žemės ūkiui priemonės</t>
  </si>
  <si>
    <t>2017 m.kovo 30 d.</t>
  </si>
  <si>
    <t>IR VALSTYBĖS KAPITALO INVESTICIJOS</t>
  </si>
  <si>
    <t xml:space="preserve">PRIENŲ RAJONO SAVIVALDYBĖS 2017 METŲ KITA TIKSLINĖ DOTACIJA                                                                                                                                    </t>
  </si>
  <si>
    <t>Nuomos pajamos:</t>
  </si>
  <si>
    <t>________________________</t>
  </si>
  <si>
    <t>VI.</t>
  </si>
  <si>
    <t>Paskolos</t>
  </si>
  <si>
    <t>sprendimo Nr. T3-87</t>
  </si>
</sst>
</file>

<file path=xl/styles.xml><?xml version="1.0" encoding="utf-8"?>
<styleSheet xmlns="http://schemas.openxmlformats.org/spreadsheetml/2006/main">
  <numFmts count="2">
    <numFmt numFmtId="170" formatCode="_-* #,##0.00\ &quot;Lt&quot;_-;\-* #,##0.00\ &quot;Lt&quot;_-;_-* &quot;-&quot;??\ &quot;Lt&quot;_-;_-@_-"/>
    <numFmt numFmtId="175" formatCode="0.0"/>
  </numFmts>
  <fonts count="8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5" fontId="2" fillId="0" borderId="4" xfId="0" applyNumberFormat="1" applyFont="1" applyFill="1" applyBorder="1" applyAlignment="1">
      <alignment wrapText="1"/>
    </xf>
    <xf numFmtId="175" fontId="2" fillId="0" borderId="1" xfId="0" applyNumberFormat="1" applyFont="1" applyFill="1" applyBorder="1" applyAlignment="1">
      <alignment horizontal="right"/>
    </xf>
    <xf numFmtId="17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7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7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7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75" fontId="2" fillId="0" borderId="5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wrapText="1"/>
    </xf>
    <xf numFmtId="17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7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75" fontId="4" fillId="2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17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right" vertical="top"/>
    </xf>
    <xf numFmtId="175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175" fontId="4" fillId="0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>
      <alignment horizontal="right" vertical="top"/>
    </xf>
    <xf numFmtId="0" fontId="7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175" fontId="2" fillId="0" borderId="4" xfId="0" applyNumberFormat="1" applyFont="1" applyFill="1" applyBorder="1" applyAlignment="1">
      <alignment horizontal="left" wrapText="1"/>
    </xf>
    <xf numFmtId="49" fontId="2" fillId="0" borderId="1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170" fontId="0" fillId="0" borderId="0" xfId="1" applyFont="1"/>
    <xf numFmtId="0" fontId="4" fillId="0" borderId="0" xfId="0" applyFont="1" applyFill="1" applyAlignment="1">
      <alignment wrapText="1"/>
    </xf>
    <xf numFmtId="49" fontId="3" fillId="0" borderId="11" xfId="0" applyNumberFormat="1" applyFont="1" applyFill="1" applyBorder="1" applyAlignment="1">
      <alignment horizontal="center" vertical="top"/>
    </xf>
    <xf numFmtId="17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175" fontId="4" fillId="0" borderId="1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175" fontId="4" fillId="0" borderId="4" xfId="0" applyNumberFormat="1" applyFont="1" applyFill="1" applyBorder="1" applyAlignment="1">
      <alignment vertical="top" wrapText="1"/>
    </xf>
    <xf numFmtId="175" fontId="4" fillId="0" borderId="2" xfId="0" applyNumberFormat="1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zoomScale="135" zoomScaleNormal="135" workbookViewId="0">
      <selection activeCell="C3" sqref="C3"/>
    </sheetView>
  </sheetViews>
  <sheetFormatPr defaultRowHeight="12.75"/>
  <cols>
    <col min="1" max="1" width="7.7109375" customWidth="1"/>
    <col min="2" max="2" width="53.7109375" customWidth="1"/>
    <col min="3" max="3" width="33.85546875" customWidth="1"/>
    <col min="4" max="4" width="9.42578125" bestFit="1" customWidth="1"/>
  </cols>
  <sheetData>
    <row r="1" spans="1:6" ht="15" customHeight="1">
      <c r="A1" s="47"/>
      <c r="B1" s="47"/>
      <c r="C1" s="35" t="s">
        <v>7</v>
      </c>
      <c r="D1" s="35"/>
      <c r="E1" s="35"/>
      <c r="F1" s="35"/>
    </row>
    <row r="2" spans="1:6" ht="15" customHeight="1">
      <c r="A2" s="47"/>
      <c r="B2" s="47"/>
      <c r="C2" s="35" t="s">
        <v>359</v>
      </c>
      <c r="D2" s="35"/>
      <c r="E2" s="35"/>
      <c r="F2" s="35"/>
    </row>
    <row r="3" spans="1:6" ht="15" customHeight="1">
      <c r="A3" s="47"/>
      <c r="B3" s="47"/>
      <c r="C3" s="35" t="s">
        <v>368</v>
      </c>
      <c r="D3" s="35"/>
      <c r="E3" s="35"/>
      <c r="F3" s="35"/>
    </row>
    <row r="4" spans="1:6" ht="15" customHeight="1">
      <c r="A4" s="47"/>
      <c r="B4" s="47"/>
      <c r="C4" s="16" t="s">
        <v>339</v>
      </c>
      <c r="D4" s="16"/>
      <c r="E4" s="16"/>
      <c r="F4" s="16"/>
    </row>
    <row r="5" spans="1:6" ht="15" customHeight="1">
      <c r="A5" s="47"/>
      <c r="B5" s="47"/>
    </row>
    <row r="6" spans="1:6">
      <c r="A6" s="144" t="s">
        <v>340</v>
      </c>
      <c r="B6" s="144"/>
      <c r="C6" s="144"/>
    </row>
    <row r="7" spans="1:6" ht="15" customHeight="1">
      <c r="A7" s="47"/>
      <c r="B7" s="47"/>
      <c r="C7" s="123" t="s">
        <v>281</v>
      </c>
    </row>
    <row r="8" spans="1:6" ht="15" customHeight="1">
      <c r="A8" s="140" t="s">
        <v>86</v>
      </c>
      <c r="B8" s="140" t="s">
        <v>192</v>
      </c>
      <c r="C8" s="140" t="s">
        <v>335</v>
      </c>
    </row>
    <row r="9" spans="1:6" ht="15" customHeight="1">
      <c r="A9" s="141"/>
      <c r="B9" s="141"/>
      <c r="C9" s="141"/>
    </row>
    <row r="10" spans="1:6" ht="15" customHeight="1">
      <c r="A10" s="142"/>
      <c r="B10" s="142"/>
      <c r="C10" s="142"/>
    </row>
    <row r="11" spans="1:6" ht="15" customHeight="1">
      <c r="A11" s="135" t="s">
        <v>146</v>
      </c>
      <c r="B11" s="135" t="s">
        <v>147</v>
      </c>
      <c r="C11" s="110">
        <f>C12+C14+C20</f>
        <v>11603000</v>
      </c>
    </row>
    <row r="12" spans="1:6" ht="15" customHeight="1">
      <c r="A12" s="110" t="s">
        <v>87</v>
      </c>
      <c r="B12" s="110" t="s">
        <v>148</v>
      </c>
      <c r="C12" s="67">
        <f>SUM(C13:C13)</f>
        <v>10477000</v>
      </c>
    </row>
    <row r="13" spans="1:6" ht="15" customHeight="1">
      <c r="A13" s="67" t="s">
        <v>149</v>
      </c>
      <c r="B13" s="67" t="s">
        <v>150</v>
      </c>
      <c r="C13" s="67">
        <v>10477000</v>
      </c>
    </row>
    <row r="14" spans="1:6" ht="15" customHeight="1">
      <c r="A14" s="110" t="s">
        <v>88</v>
      </c>
      <c r="B14" s="110" t="s">
        <v>249</v>
      </c>
      <c r="C14" s="110">
        <f>SUM(C15+C18+C19)</f>
        <v>417000</v>
      </c>
    </row>
    <row r="15" spans="1:6" ht="15" customHeight="1">
      <c r="A15" s="67" t="s">
        <v>153</v>
      </c>
      <c r="B15" s="67" t="s">
        <v>154</v>
      </c>
      <c r="C15" s="67">
        <f>C17+C16</f>
        <v>260000</v>
      </c>
    </row>
    <row r="16" spans="1:6" ht="15" customHeight="1">
      <c r="A16" s="67" t="s">
        <v>242</v>
      </c>
      <c r="B16" s="67" t="s">
        <v>156</v>
      </c>
      <c r="C16" s="67">
        <v>10000</v>
      </c>
    </row>
    <row r="17" spans="1:3" ht="15" customHeight="1">
      <c r="A17" s="67" t="s">
        <v>243</v>
      </c>
      <c r="B17" s="67" t="s">
        <v>158</v>
      </c>
      <c r="C17" s="67">
        <v>250000</v>
      </c>
    </row>
    <row r="18" spans="1:3" ht="15" customHeight="1">
      <c r="A18" s="67" t="s">
        <v>155</v>
      </c>
      <c r="B18" s="67" t="s">
        <v>159</v>
      </c>
      <c r="C18" s="67">
        <v>7000</v>
      </c>
    </row>
    <row r="19" spans="1:3" ht="15" customHeight="1">
      <c r="A19" s="67" t="s">
        <v>157</v>
      </c>
      <c r="B19" s="67" t="s">
        <v>160</v>
      </c>
      <c r="C19" s="67">
        <v>150000</v>
      </c>
    </row>
    <row r="20" spans="1:3" ht="15" customHeight="1">
      <c r="A20" s="110" t="s">
        <v>89</v>
      </c>
      <c r="B20" s="110" t="s">
        <v>161</v>
      </c>
      <c r="C20" s="110">
        <f>C23+C22+C21</f>
        <v>709000</v>
      </c>
    </row>
    <row r="21" spans="1:3" ht="15" customHeight="1">
      <c r="A21" s="67" t="s">
        <v>162</v>
      </c>
      <c r="B21" s="67" t="s">
        <v>163</v>
      </c>
      <c r="C21" s="67">
        <v>25000</v>
      </c>
    </row>
    <row r="22" spans="1:3" ht="15" customHeight="1">
      <c r="A22" s="67" t="s">
        <v>164</v>
      </c>
      <c r="B22" s="67" t="s">
        <v>165</v>
      </c>
      <c r="C22" s="67">
        <v>32000</v>
      </c>
    </row>
    <row r="23" spans="1:3" ht="15" customHeight="1">
      <c r="A23" s="67" t="s">
        <v>166</v>
      </c>
      <c r="B23" s="67" t="s">
        <v>167</v>
      </c>
      <c r="C23" s="67">
        <v>652000</v>
      </c>
    </row>
    <row r="24" spans="1:3" ht="15" customHeight="1">
      <c r="A24" s="110" t="s">
        <v>168</v>
      </c>
      <c r="B24" s="110" t="s">
        <v>273</v>
      </c>
      <c r="C24" s="110">
        <f>C30+C29+C28+C27+C26+C25</f>
        <v>8219200</v>
      </c>
    </row>
    <row r="25" spans="1:3" ht="15" customHeight="1">
      <c r="A25" s="67" t="s">
        <v>149</v>
      </c>
      <c r="B25" s="111" t="s">
        <v>169</v>
      </c>
      <c r="C25" s="67">
        <v>1903700</v>
      </c>
    </row>
    <row r="26" spans="1:3" ht="15" customHeight="1">
      <c r="A26" s="67" t="s">
        <v>151</v>
      </c>
      <c r="B26" s="111" t="s">
        <v>170</v>
      </c>
      <c r="C26" s="67">
        <v>5162600</v>
      </c>
    </row>
    <row r="27" spans="1:3" ht="15" customHeight="1">
      <c r="A27" s="67" t="s">
        <v>152</v>
      </c>
      <c r="B27" s="111" t="s">
        <v>171</v>
      </c>
      <c r="C27" s="67">
        <f>293200+5300</f>
        <v>298500</v>
      </c>
    </row>
    <row r="28" spans="1:3" ht="15" customHeight="1">
      <c r="A28" s="67" t="s">
        <v>177</v>
      </c>
      <c r="B28" s="111" t="s">
        <v>253</v>
      </c>
      <c r="C28" s="67">
        <f>551000+100000</f>
        <v>651000</v>
      </c>
    </row>
    <row r="29" spans="1:3" ht="15" customHeight="1">
      <c r="A29" s="67" t="s">
        <v>271</v>
      </c>
      <c r="B29" s="111" t="s">
        <v>336</v>
      </c>
      <c r="C29" s="67">
        <v>18500</v>
      </c>
    </row>
    <row r="30" spans="1:3" ht="15" customHeight="1">
      <c r="A30" s="67" t="s">
        <v>272</v>
      </c>
      <c r="B30" s="111" t="s">
        <v>274</v>
      </c>
      <c r="C30" s="67">
        <f>52900+132000</f>
        <v>184900</v>
      </c>
    </row>
    <row r="31" spans="1:3" ht="15" customHeight="1">
      <c r="A31" s="110" t="s">
        <v>88</v>
      </c>
      <c r="B31" s="112" t="s">
        <v>356</v>
      </c>
      <c r="C31" s="110">
        <v>272000</v>
      </c>
    </row>
    <row r="32" spans="1:3" ht="15" customHeight="1">
      <c r="A32" s="110" t="s">
        <v>173</v>
      </c>
      <c r="B32" s="112" t="s">
        <v>174</v>
      </c>
      <c r="C32" s="110">
        <f>C45+C44+C42+C38+C34+C33</f>
        <v>1401000</v>
      </c>
    </row>
    <row r="33" spans="1:9" ht="15" customHeight="1">
      <c r="A33" s="66" t="s">
        <v>87</v>
      </c>
      <c r="B33" s="112" t="s">
        <v>341</v>
      </c>
      <c r="C33" s="110">
        <v>1000</v>
      </c>
    </row>
    <row r="34" spans="1:9" ht="15" customHeight="1">
      <c r="A34" s="66" t="s">
        <v>88</v>
      </c>
      <c r="B34" s="112" t="s">
        <v>364</v>
      </c>
      <c r="C34" s="67">
        <f>C37+C36+C35</f>
        <v>163000</v>
      </c>
    </row>
    <row r="35" spans="1:9" ht="30" customHeight="1">
      <c r="A35" s="67" t="s">
        <v>153</v>
      </c>
      <c r="B35" s="111" t="s">
        <v>175</v>
      </c>
      <c r="C35" s="67">
        <v>90000</v>
      </c>
    </row>
    <row r="36" spans="1:9" ht="15" customHeight="1">
      <c r="A36" s="67" t="s">
        <v>155</v>
      </c>
      <c r="B36" s="111" t="s">
        <v>176</v>
      </c>
      <c r="C36" s="67">
        <v>60000</v>
      </c>
    </row>
    <row r="37" spans="1:9" ht="15" customHeight="1">
      <c r="A37" s="67" t="s">
        <v>157</v>
      </c>
      <c r="B37" s="111" t="s">
        <v>178</v>
      </c>
      <c r="C37" s="67">
        <v>13000</v>
      </c>
    </row>
    <row r="38" spans="1:9" ht="15" customHeight="1">
      <c r="A38" s="110" t="s">
        <v>89</v>
      </c>
      <c r="B38" s="112" t="s">
        <v>179</v>
      </c>
      <c r="C38" s="67">
        <f>C41+C40+C39</f>
        <v>1207000</v>
      </c>
    </row>
    <row r="39" spans="1:9" ht="15" customHeight="1">
      <c r="A39" s="67" t="s">
        <v>162</v>
      </c>
      <c r="B39" s="67" t="s">
        <v>180</v>
      </c>
      <c r="C39" s="67">
        <v>63000</v>
      </c>
      <c r="I39" t="s">
        <v>337</v>
      </c>
    </row>
    <row r="40" spans="1:9" ht="15" customHeight="1">
      <c r="A40" s="67" t="s">
        <v>164</v>
      </c>
      <c r="B40" s="67" t="s">
        <v>181</v>
      </c>
      <c r="C40" s="67">
        <v>203800</v>
      </c>
    </row>
    <row r="41" spans="1:9" ht="15.75" customHeight="1">
      <c r="A41" s="67" t="s">
        <v>166</v>
      </c>
      <c r="B41" s="67" t="s">
        <v>182</v>
      </c>
      <c r="C41" s="67">
        <v>940200</v>
      </c>
    </row>
    <row r="42" spans="1:9" ht="15" customHeight="1">
      <c r="A42" s="110" t="s">
        <v>90</v>
      </c>
      <c r="B42" s="110" t="s">
        <v>183</v>
      </c>
      <c r="C42" s="67">
        <f>C43</f>
        <v>4000</v>
      </c>
    </row>
    <row r="43" spans="1:9" ht="15" customHeight="1">
      <c r="A43" s="67" t="s">
        <v>342</v>
      </c>
      <c r="B43" s="67" t="s">
        <v>184</v>
      </c>
      <c r="C43" s="67">
        <v>4000</v>
      </c>
    </row>
    <row r="44" spans="1:9" ht="15" customHeight="1">
      <c r="A44" s="110" t="s">
        <v>91</v>
      </c>
      <c r="B44" s="110" t="s">
        <v>185</v>
      </c>
      <c r="C44" s="67">
        <v>6000</v>
      </c>
    </row>
    <row r="45" spans="1:9" ht="15" customHeight="1">
      <c r="A45" s="110" t="s">
        <v>92</v>
      </c>
      <c r="B45" s="110" t="s">
        <v>186</v>
      </c>
      <c r="C45" s="67">
        <f>C47+C46</f>
        <v>20000</v>
      </c>
    </row>
    <row r="46" spans="1:9" ht="15" customHeight="1">
      <c r="A46" s="67" t="s">
        <v>343</v>
      </c>
      <c r="B46" s="67" t="s">
        <v>187</v>
      </c>
      <c r="C46" s="67">
        <v>19000</v>
      </c>
    </row>
    <row r="47" spans="1:9" ht="15" customHeight="1">
      <c r="A47" s="67" t="s">
        <v>344</v>
      </c>
      <c r="B47" s="67" t="s">
        <v>188</v>
      </c>
      <c r="C47" s="67">
        <v>1000</v>
      </c>
    </row>
    <row r="48" spans="1:9" ht="15" customHeight="1">
      <c r="A48" s="110" t="s">
        <v>189</v>
      </c>
      <c r="B48" s="110" t="s">
        <v>190</v>
      </c>
      <c r="C48" s="110">
        <f>C32+C31+C24+C11</f>
        <v>21495200</v>
      </c>
    </row>
    <row r="49" spans="1:4" ht="15" customHeight="1">
      <c r="A49" s="110" t="s">
        <v>275</v>
      </c>
      <c r="B49" s="110" t="s">
        <v>276</v>
      </c>
      <c r="C49" s="110">
        <v>774000</v>
      </c>
    </row>
    <row r="50" spans="1:4" ht="15" customHeight="1">
      <c r="A50" s="110" t="s">
        <v>366</v>
      </c>
      <c r="B50" s="110" t="s">
        <v>367</v>
      </c>
      <c r="C50" s="110">
        <v>45700</v>
      </c>
    </row>
    <row r="51" spans="1:4">
      <c r="A51" s="143" t="s">
        <v>191</v>
      </c>
      <c r="B51" s="143"/>
      <c r="C51" s="143"/>
      <c r="D51" s="47">
        <f>C48+C49+C50</f>
        <v>22314900</v>
      </c>
    </row>
    <row r="52" spans="1:4">
      <c r="A52" s="47"/>
      <c r="B52" s="47"/>
    </row>
    <row r="53" spans="1:4">
      <c r="A53" s="47"/>
      <c r="B53" s="47"/>
    </row>
    <row r="54" spans="1:4">
      <c r="A54" s="47"/>
      <c r="B54" s="47"/>
    </row>
    <row r="55" spans="1:4">
      <c r="A55" s="47"/>
      <c r="B55" s="47"/>
    </row>
    <row r="56" spans="1:4">
      <c r="A56" s="47"/>
      <c r="B56" s="47"/>
    </row>
    <row r="57" spans="1:4">
      <c r="A57" s="47"/>
      <c r="B57" s="47"/>
    </row>
    <row r="58" spans="1:4">
      <c r="A58" s="47"/>
      <c r="B58" s="47"/>
    </row>
    <row r="59" spans="1:4">
      <c r="A59" s="47"/>
      <c r="B59" s="47"/>
    </row>
    <row r="60" spans="1:4">
      <c r="A60" s="47"/>
      <c r="B60" s="47"/>
    </row>
    <row r="61" spans="1:4">
      <c r="A61" s="47"/>
      <c r="B61" s="47"/>
    </row>
    <row r="62" spans="1:4">
      <c r="A62" s="47"/>
      <c r="B62" s="47"/>
    </row>
    <row r="63" spans="1:4">
      <c r="A63" s="47"/>
      <c r="B63" s="47"/>
    </row>
    <row r="64" spans="1:4">
      <c r="A64" s="47"/>
      <c r="B64" s="47"/>
    </row>
    <row r="65" spans="1:2">
      <c r="A65" s="47"/>
      <c r="B65" s="47"/>
    </row>
    <row r="66" spans="1:2">
      <c r="A66" s="47"/>
      <c r="B66" s="47"/>
    </row>
    <row r="67" spans="1:2">
      <c r="A67" s="47"/>
      <c r="B67" s="47"/>
    </row>
    <row r="68" spans="1:2">
      <c r="A68" s="47"/>
      <c r="B68" s="47"/>
    </row>
    <row r="69" spans="1:2">
      <c r="A69" s="47"/>
      <c r="B69" s="47"/>
    </row>
    <row r="70" spans="1:2">
      <c r="A70" s="47"/>
      <c r="B70" s="47"/>
    </row>
    <row r="71" spans="1:2">
      <c r="A71" s="47"/>
      <c r="B71" s="47"/>
    </row>
    <row r="72" spans="1:2">
      <c r="A72" s="47"/>
      <c r="B72" s="47"/>
    </row>
    <row r="73" spans="1:2">
      <c r="A73" s="47"/>
      <c r="B73" s="47"/>
    </row>
    <row r="74" spans="1:2">
      <c r="A74" s="47"/>
      <c r="B74" s="47"/>
    </row>
    <row r="75" spans="1:2">
      <c r="A75" s="47"/>
      <c r="B75" s="47"/>
    </row>
    <row r="76" spans="1:2">
      <c r="A76" s="47"/>
      <c r="B76" s="47"/>
    </row>
    <row r="77" spans="1:2">
      <c r="A77" s="47"/>
      <c r="B77" s="47"/>
    </row>
    <row r="78" spans="1:2">
      <c r="A78" s="47"/>
      <c r="B78" s="47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2" spans="1:2">
      <c r="A82" s="47"/>
      <c r="B82" s="47"/>
    </row>
    <row r="83" spans="1:2">
      <c r="A83" s="47"/>
      <c r="B83" s="47"/>
    </row>
    <row r="84" spans="1:2">
      <c r="A84" s="47"/>
      <c r="B84" s="47"/>
    </row>
    <row r="85" spans="1:2">
      <c r="A85" s="47"/>
      <c r="B85" s="47"/>
    </row>
    <row r="86" spans="1:2">
      <c r="A86" s="47"/>
      <c r="B86" s="47"/>
    </row>
    <row r="87" spans="1:2">
      <c r="A87" s="47"/>
      <c r="B87" s="47"/>
    </row>
    <row r="88" spans="1:2">
      <c r="A88" s="47"/>
      <c r="B88" s="47"/>
    </row>
    <row r="89" spans="1:2">
      <c r="A89" s="47"/>
      <c r="B89" s="47"/>
    </row>
    <row r="90" spans="1:2">
      <c r="A90" s="47"/>
      <c r="B90" s="47"/>
    </row>
    <row r="91" spans="1:2">
      <c r="A91" s="47"/>
      <c r="B91" s="47"/>
    </row>
    <row r="92" spans="1:2">
      <c r="A92" s="47"/>
      <c r="B92" s="47"/>
    </row>
    <row r="93" spans="1:2">
      <c r="A93" s="47"/>
      <c r="B93" s="47"/>
    </row>
    <row r="94" spans="1:2">
      <c r="A94" s="47"/>
      <c r="B94" s="47"/>
    </row>
    <row r="95" spans="1:2">
      <c r="A95" s="47"/>
      <c r="B95" s="47"/>
    </row>
    <row r="96" spans="1:2">
      <c r="A96" s="47"/>
      <c r="B96" s="47"/>
    </row>
    <row r="97" spans="1:2">
      <c r="A97" s="47"/>
      <c r="B97" s="47"/>
    </row>
    <row r="98" spans="1:2">
      <c r="A98" s="47"/>
      <c r="B98" s="47"/>
    </row>
    <row r="99" spans="1:2">
      <c r="A99" s="47"/>
      <c r="B99" s="47"/>
    </row>
    <row r="100" spans="1:2">
      <c r="A100" s="47"/>
      <c r="B100" s="47"/>
    </row>
    <row r="101" spans="1:2">
      <c r="A101" s="47"/>
      <c r="B101" s="47"/>
    </row>
    <row r="102" spans="1:2">
      <c r="A102" s="47"/>
      <c r="B102" s="47"/>
    </row>
    <row r="103" spans="1:2">
      <c r="A103" s="47"/>
      <c r="B103" s="47"/>
    </row>
    <row r="104" spans="1:2">
      <c r="A104" s="47"/>
      <c r="B104" s="47"/>
    </row>
    <row r="105" spans="1:2">
      <c r="A105" s="47"/>
      <c r="B105" s="47"/>
    </row>
    <row r="106" spans="1:2">
      <c r="A106" s="47"/>
      <c r="B106" s="47"/>
    </row>
    <row r="107" spans="1:2">
      <c r="A107" s="47"/>
      <c r="B107" s="47"/>
    </row>
    <row r="108" spans="1:2">
      <c r="A108" s="47"/>
      <c r="B108" s="47"/>
    </row>
    <row r="109" spans="1:2">
      <c r="A109" s="47"/>
      <c r="B109" s="47"/>
    </row>
    <row r="110" spans="1:2">
      <c r="A110" s="47"/>
      <c r="B110" s="47"/>
    </row>
    <row r="111" spans="1:2">
      <c r="A111" s="47"/>
      <c r="B111" s="47"/>
    </row>
    <row r="112" spans="1:2">
      <c r="A112" s="47"/>
      <c r="B112" s="47"/>
    </row>
    <row r="113" spans="1:2">
      <c r="A113" s="47"/>
      <c r="B113" s="47"/>
    </row>
    <row r="114" spans="1:2">
      <c r="A114" s="47"/>
      <c r="B114" s="47"/>
    </row>
  </sheetData>
  <mergeCells count="5">
    <mergeCell ref="C8:C10"/>
    <mergeCell ref="B8:B10"/>
    <mergeCell ref="A8:A10"/>
    <mergeCell ref="A51:C51"/>
    <mergeCell ref="A6:C6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7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3.140625" customWidth="1"/>
    <col min="4" max="4" width="9.85546875" customWidth="1"/>
    <col min="5" max="6" width="8.7109375" customWidth="1"/>
    <col min="7" max="7" width="11.28515625" customWidth="1"/>
    <col min="8" max="8" width="10.140625" customWidth="1"/>
  </cols>
  <sheetData>
    <row r="1" spans="1:11" ht="14.1" customHeight="1">
      <c r="A1" s="3"/>
      <c r="B1" s="3"/>
      <c r="C1" s="3"/>
      <c r="D1" s="34"/>
      <c r="E1" s="35"/>
      <c r="F1" s="157" t="s">
        <v>7</v>
      </c>
      <c r="G1" s="157"/>
      <c r="H1" s="157"/>
    </row>
    <row r="2" spans="1:11" ht="14.1" customHeight="1">
      <c r="A2" s="3"/>
      <c r="B2" s="3"/>
      <c r="C2" s="3"/>
      <c r="D2" s="34"/>
      <c r="E2" s="35"/>
      <c r="F2" s="157" t="s">
        <v>359</v>
      </c>
      <c r="G2" s="157"/>
      <c r="H2" s="157"/>
    </row>
    <row r="3" spans="1:11" ht="14.1" customHeight="1">
      <c r="A3" s="1"/>
      <c r="B3" s="2"/>
      <c r="C3" s="119"/>
      <c r="D3" s="35"/>
      <c r="E3" s="35"/>
      <c r="F3" s="157" t="s">
        <v>368</v>
      </c>
      <c r="G3" s="157"/>
      <c r="H3" s="157"/>
    </row>
    <row r="4" spans="1:11" ht="14.1" customHeight="1">
      <c r="A4" s="1"/>
      <c r="B4" s="2"/>
      <c r="C4" s="16"/>
      <c r="D4" s="16"/>
      <c r="E4" s="16"/>
      <c r="F4" s="16" t="s">
        <v>144</v>
      </c>
      <c r="G4" s="16"/>
      <c r="H4" s="16"/>
    </row>
    <row r="5" spans="1:11" ht="15" customHeight="1">
      <c r="A5" s="1"/>
      <c r="B5" s="2"/>
      <c r="C5" s="3"/>
      <c r="D5" s="43"/>
      <c r="E5" s="16"/>
      <c r="F5" s="16"/>
      <c r="G5" s="16"/>
      <c r="H5" s="16"/>
    </row>
    <row r="6" spans="1:11" ht="12.75" customHeight="1">
      <c r="A6" s="156" t="s">
        <v>363</v>
      </c>
      <c r="B6" s="156"/>
      <c r="C6" s="156"/>
      <c r="D6" s="156"/>
      <c r="E6" s="156"/>
      <c r="F6" s="156"/>
      <c r="G6" s="156"/>
      <c r="H6" s="156"/>
    </row>
    <row r="7" spans="1:11" ht="12.75" customHeight="1">
      <c r="A7" s="156" t="s">
        <v>362</v>
      </c>
      <c r="B7" s="156"/>
      <c r="C7" s="156"/>
      <c r="D7" s="156"/>
      <c r="E7" s="156"/>
      <c r="F7" s="156"/>
      <c r="G7" s="156"/>
      <c r="H7" s="156"/>
      <c r="I7" s="48"/>
    </row>
    <row r="8" spans="1:11" ht="12.75" customHeight="1">
      <c r="A8" s="1"/>
      <c r="B8" s="2"/>
      <c r="C8" s="3"/>
      <c r="D8" s="43"/>
      <c r="E8" s="109"/>
      <c r="F8" s="109"/>
      <c r="G8" s="109"/>
      <c r="H8" s="108" t="s">
        <v>281</v>
      </c>
      <c r="I8" s="33"/>
    </row>
    <row r="9" spans="1:11">
      <c r="A9" s="147" t="s">
        <v>0</v>
      </c>
      <c r="B9" s="150" t="s">
        <v>1</v>
      </c>
      <c r="C9" s="147" t="s">
        <v>50</v>
      </c>
      <c r="D9" s="153" t="s">
        <v>2</v>
      </c>
      <c r="E9" s="158" t="s">
        <v>134</v>
      </c>
      <c r="F9" s="159"/>
      <c r="G9" s="159"/>
      <c r="H9" s="160"/>
    </row>
    <row r="10" spans="1:11" ht="12.75" customHeight="1">
      <c r="A10" s="148"/>
      <c r="B10" s="151"/>
      <c r="C10" s="148"/>
      <c r="D10" s="154"/>
      <c r="E10" s="147" t="s">
        <v>3</v>
      </c>
      <c r="F10" s="161" t="s">
        <v>4</v>
      </c>
      <c r="G10" s="161"/>
      <c r="H10" s="162"/>
    </row>
    <row r="11" spans="1:11">
      <c r="A11" s="148"/>
      <c r="B11" s="151"/>
      <c r="C11" s="148"/>
      <c r="D11" s="154"/>
      <c r="E11" s="148"/>
      <c r="F11" s="163" t="s">
        <v>132</v>
      </c>
      <c r="G11" s="163"/>
      <c r="H11" s="147" t="s">
        <v>51</v>
      </c>
    </row>
    <row r="12" spans="1:11" ht="28.5" customHeight="1">
      <c r="A12" s="149"/>
      <c r="B12" s="152"/>
      <c r="C12" s="149"/>
      <c r="D12" s="155"/>
      <c r="E12" s="149"/>
      <c r="F12" s="91" t="s">
        <v>133</v>
      </c>
      <c r="G12" s="93" t="s">
        <v>8</v>
      </c>
      <c r="H12" s="149"/>
    </row>
    <row r="13" spans="1:11" ht="11.25" customHeight="1">
      <c r="A13" s="5">
        <v>1</v>
      </c>
      <c r="B13" s="6" t="s">
        <v>5</v>
      </c>
      <c r="C13" s="4">
        <v>3</v>
      </c>
      <c r="D13" s="6" t="s">
        <v>6</v>
      </c>
      <c r="E13" s="4">
        <v>5</v>
      </c>
      <c r="F13" s="4">
        <v>6</v>
      </c>
      <c r="G13" s="4">
        <v>7</v>
      </c>
      <c r="H13" s="4">
        <v>8</v>
      </c>
      <c r="K13" s="139"/>
    </row>
    <row r="14" spans="1:11" ht="25.5">
      <c r="A14" s="37" t="s">
        <v>87</v>
      </c>
      <c r="B14" s="86" t="s">
        <v>10</v>
      </c>
      <c r="C14" s="17" t="s">
        <v>11</v>
      </c>
      <c r="D14" s="42"/>
      <c r="E14" s="81">
        <f>SUM(E15:E33)</f>
        <v>271100</v>
      </c>
      <c r="F14" s="81">
        <f>SUM(F15:F33)</f>
        <v>271100</v>
      </c>
      <c r="G14" s="81">
        <f>SUM(G15:G33)</f>
        <v>166700</v>
      </c>
      <c r="H14" s="81">
        <f>SUM(H15:H33)</f>
        <v>0</v>
      </c>
    </row>
    <row r="15" spans="1:11" ht="12.75" customHeight="1">
      <c r="A15" s="37" t="s">
        <v>88</v>
      </c>
      <c r="B15" s="12" t="s">
        <v>29</v>
      </c>
      <c r="C15" s="18" t="s">
        <v>282</v>
      </c>
      <c r="D15" s="12" t="s">
        <v>73</v>
      </c>
      <c r="E15" s="20">
        <v>86200</v>
      </c>
      <c r="F15" s="20">
        <f>E15-H15</f>
        <v>86200</v>
      </c>
      <c r="G15" s="20">
        <v>65800</v>
      </c>
      <c r="H15" s="81"/>
    </row>
    <row r="16" spans="1:11">
      <c r="A16" s="37" t="s">
        <v>89</v>
      </c>
      <c r="B16" s="42" t="s">
        <v>30</v>
      </c>
      <c r="C16" s="18" t="s">
        <v>263</v>
      </c>
      <c r="D16" s="42" t="s">
        <v>73</v>
      </c>
      <c r="E16" s="41">
        <v>1200</v>
      </c>
      <c r="F16" s="41">
        <v>1200</v>
      </c>
      <c r="G16" s="81"/>
      <c r="H16" s="81"/>
    </row>
    <row r="17" spans="1:8" ht="25.5">
      <c r="A17" s="32" t="s">
        <v>90</v>
      </c>
      <c r="B17" s="12" t="s">
        <v>31</v>
      </c>
      <c r="C17" s="18" t="s">
        <v>357</v>
      </c>
      <c r="D17" s="12" t="s">
        <v>73</v>
      </c>
      <c r="E17" s="20">
        <v>2100</v>
      </c>
      <c r="F17" s="20">
        <v>2100</v>
      </c>
      <c r="G17" s="20"/>
      <c r="H17" s="20"/>
    </row>
    <row r="18" spans="1:8">
      <c r="A18" s="32" t="s">
        <v>91</v>
      </c>
      <c r="B18" s="12" t="s">
        <v>32</v>
      </c>
      <c r="C18" s="18" t="s">
        <v>12</v>
      </c>
      <c r="D18" s="12" t="s">
        <v>72</v>
      </c>
      <c r="E18" s="20">
        <v>17900</v>
      </c>
      <c r="F18" s="20">
        <f>E18-H18</f>
        <v>17900</v>
      </c>
      <c r="G18" s="20">
        <v>13700</v>
      </c>
      <c r="H18" s="20"/>
    </row>
    <row r="19" spans="1:8">
      <c r="A19" s="32" t="s">
        <v>92</v>
      </c>
      <c r="B19" s="12" t="s">
        <v>33</v>
      </c>
      <c r="C19" s="18" t="s">
        <v>257</v>
      </c>
      <c r="D19" s="12" t="s">
        <v>73</v>
      </c>
      <c r="E19" s="20">
        <v>12100</v>
      </c>
      <c r="F19" s="20">
        <f t="shared" ref="F19:F32" si="0">E19-H19</f>
        <v>12100</v>
      </c>
      <c r="G19" s="20">
        <v>9200</v>
      </c>
      <c r="H19" s="20"/>
    </row>
    <row r="20" spans="1:8">
      <c r="A20" s="32" t="s">
        <v>93</v>
      </c>
      <c r="B20" s="12" t="s">
        <v>34</v>
      </c>
      <c r="C20" s="18" t="s">
        <v>277</v>
      </c>
      <c r="D20" s="42" t="s">
        <v>73</v>
      </c>
      <c r="E20" s="20">
        <v>9800</v>
      </c>
      <c r="F20" s="20">
        <f t="shared" si="0"/>
        <v>9800</v>
      </c>
      <c r="G20" s="20">
        <v>7500</v>
      </c>
      <c r="H20" s="20"/>
    </row>
    <row r="21" spans="1:8" ht="25.5">
      <c r="A21" s="32" t="s">
        <v>94</v>
      </c>
      <c r="B21" s="12" t="s">
        <v>35</v>
      </c>
      <c r="C21" s="18" t="s">
        <v>258</v>
      </c>
      <c r="D21" s="42" t="s">
        <v>73</v>
      </c>
      <c r="E21" s="41">
        <v>13600</v>
      </c>
      <c r="F21" s="41">
        <f t="shared" si="0"/>
        <v>13600</v>
      </c>
      <c r="G21" s="41">
        <v>10400</v>
      </c>
      <c r="H21" s="41"/>
    </row>
    <row r="22" spans="1:8">
      <c r="A22" s="32" t="s">
        <v>95</v>
      </c>
      <c r="B22" s="12" t="s">
        <v>36</v>
      </c>
      <c r="C22" s="18" t="s">
        <v>278</v>
      </c>
      <c r="D22" s="42" t="s">
        <v>73</v>
      </c>
      <c r="E22" s="20">
        <v>19700</v>
      </c>
      <c r="F22" s="20">
        <f t="shared" si="0"/>
        <v>19700</v>
      </c>
      <c r="G22" s="20">
        <v>15000</v>
      </c>
      <c r="H22" s="20"/>
    </row>
    <row r="23" spans="1:8" ht="12.75" customHeight="1">
      <c r="A23" s="32" t="s">
        <v>96</v>
      </c>
      <c r="B23" s="12" t="s">
        <v>37</v>
      </c>
      <c r="C23" s="18" t="s">
        <v>279</v>
      </c>
      <c r="D23" s="42" t="s">
        <v>73</v>
      </c>
      <c r="E23" s="20">
        <v>14800</v>
      </c>
      <c r="F23" s="20">
        <f t="shared" si="0"/>
        <v>14800</v>
      </c>
      <c r="G23" s="20">
        <v>11300</v>
      </c>
      <c r="H23" s="20"/>
    </row>
    <row r="24" spans="1:8" ht="12.75" customHeight="1">
      <c r="A24" s="32" t="s">
        <v>97</v>
      </c>
      <c r="B24" s="12" t="s">
        <v>38</v>
      </c>
      <c r="C24" s="18" t="s">
        <v>269</v>
      </c>
      <c r="D24" s="42" t="s">
        <v>73</v>
      </c>
      <c r="E24" s="20">
        <v>7400</v>
      </c>
      <c r="F24" s="20">
        <f t="shared" si="0"/>
        <v>7400</v>
      </c>
      <c r="G24" s="20">
        <v>5700</v>
      </c>
      <c r="H24" s="20"/>
    </row>
    <row r="25" spans="1:8">
      <c r="A25" s="32" t="s">
        <v>98</v>
      </c>
      <c r="B25" s="12" t="s">
        <v>39</v>
      </c>
      <c r="C25" s="18" t="s">
        <v>13</v>
      </c>
      <c r="D25" s="42" t="s">
        <v>73</v>
      </c>
      <c r="E25" s="20">
        <v>6500</v>
      </c>
      <c r="F25" s="20">
        <f t="shared" si="0"/>
        <v>6500</v>
      </c>
      <c r="G25" s="20">
        <v>5000</v>
      </c>
      <c r="H25" s="20"/>
    </row>
    <row r="26" spans="1:8" ht="25.5">
      <c r="A26" s="32" t="s">
        <v>99</v>
      </c>
      <c r="B26" s="12" t="s">
        <v>40</v>
      </c>
      <c r="C26" s="18" t="s">
        <v>259</v>
      </c>
      <c r="D26" s="42" t="s">
        <v>73</v>
      </c>
      <c r="E26" s="20">
        <v>3500</v>
      </c>
      <c r="F26" s="20">
        <f t="shared" si="0"/>
        <v>3500</v>
      </c>
      <c r="G26" s="20">
        <v>2700</v>
      </c>
      <c r="H26" s="20"/>
    </row>
    <row r="27" spans="1:8" ht="12.75" customHeight="1">
      <c r="A27" s="32" t="s">
        <v>100</v>
      </c>
      <c r="B27" s="12" t="s">
        <v>41</v>
      </c>
      <c r="C27" s="18" t="s">
        <v>260</v>
      </c>
      <c r="D27" s="42" t="s">
        <v>73</v>
      </c>
      <c r="E27" s="20">
        <v>6000</v>
      </c>
      <c r="F27" s="20">
        <f t="shared" si="0"/>
        <v>6000</v>
      </c>
      <c r="G27" s="20">
        <v>4600</v>
      </c>
      <c r="H27" s="20"/>
    </row>
    <row r="28" spans="1:8" ht="12.75" customHeight="1">
      <c r="A28" s="32" t="s">
        <v>101</v>
      </c>
      <c r="B28" s="12" t="s">
        <v>42</v>
      </c>
      <c r="C28" s="18" t="s">
        <v>261</v>
      </c>
      <c r="D28" s="42" t="s">
        <v>73</v>
      </c>
      <c r="E28" s="20">
        <v>6200</v>
      </c>
      <c r="F28" s="20">
        <f t="shared" si="0"/>
        <v>6200</v>
      </c>
      <c r="G28" s="20">
        <v>4700</v>
      </c>
      <c r="H28" s="20"/>
    </row>
    <row r="29" spans="1:8" ht="12.75" customHeight="1">
      <c r="A29" s="32" t="s">
        <v>102</v>
      </c>
      <c r="B29" s="12" t="s">
        <v>43</v>
      </c>
      <c r="C29" s="18" t="s">
        <v>280</v>
      </c>
      <c r="D29" s="42" t="s">
        <v>73</v>
      </c>
      <c r="E29" s="20">
        <v>5100</v>
      </c>
      <c r="F29" s="20">
        <f t="shared" si="0"/>
        <v>5100</v>
      </c>
      <c r="G29" s="20">
        <v>3900</v>
      </c>
      <c r="H29" s="20"/>
    </row>
    <row r="30" spans="1:8">
      <c r="A30" s="32" t="s">
        <v>103</v>
      </c>
      <c r="B30" s="12" t="s">
        <v>44</v>
      </c>
      <c r="C30" s="18" t="s">
        <v>14</v>
      </c>
      <c r="D30" s="12" t="s">
        <v>73</v>
      </c>
      <c r="E30" s="20">
        <v>2900</v>
      </c>
      <c r="F30" s="20">
        <f t="shared" si="0"/>
        <v>2900</v>
      </c>
      <c r="G30" s="20">
        <v>2200</v>
      </c>
      <c r="H30" s="20"/>
    </row>
    <row r="31" spans="1:8">
      <c r="A31" s="32" t="s">
        <v>104</v>
      </c>
      <c r="B31" s="12" t="s">
        <v>45</v>
      </c>
      <c r="C31" s="18" t="s">
        <v>15</v>
      </c>
      <c r="D31" s="12" t="s">
        <v>73</v>
      </c>
      <c r="E31" s="20">
        <v>4300</v>
      </c>
      <c r="F31" s="20">
        <f t="shared" si="0"/>
        <v>4300</v>
      </c>
      <c r="G31" s="20">
        <v>3300</v>
      </c>
      <c r="H31" s="20"/>
    </row>
    <row r="32" spans="1:8">
      <c r="A32" s="32" t="s">
        <v>105</v>
      </c>
      <c r="B32" s="12" t="s">
        <v>46</v>
      </c>
      <c r="C32" s="18" t="s">
        <v>127</v>
      </c>
      <c r="D32" s="12" t="s">
        <v>73</v>
      </c>
      <c r="E32" s="20">
        <v>2200</v>
      </c>
      <c r="F32" s="20">
        <f t="shared" si="0"/>
        <v>2200</v>
      </c>
      <c r="G32" s="20">
        <v>1700</v>
      </c>
      <c r="H32" s="20"/>
    </row>
    <row r="33" spans="1:8">
      <c r="A33" s="32" t="s">
        <v>106</v>
      </c>
      <c r="B33" s="12" t="s">
        <v>47</v>
      </c>
      <c r="C33" s="18" t="s">
        <v>114</v>
      </c>
      <c r="D33" s="12"/>
      <c r="E33" s="19">
        <f>SUM(E34)</f>
        <v>49600</v>
      </c>
      <c r="F33" s="19">
        <f>E33-H33</f>
        <v>49600</v>
      </c>
      <c r="G33" s="19">
        <f>G34</f>
        <v>0</v>
      </c>
      <c r="H33" s="19">
        <f>H34</f>
        <v>0</v>
      </c>
    </row>
    <row r="34" spans="1:8">
      <c r="A34" s="32" t="s">
        <v>107</v>
      </c>
      <c r="B34" s="12"/>
      <c r="C34" s="57" t="s">
        <v>284</v>
      </c>
      <c r="D34" s="12" t="s">
        <v>73</v>
      </c>
      <c r="E34" s="94">
        <v>49600</v>
      </c>
      <c r="F34" s="94">
        <f>E34-H34</f>
        <v>49600</v>
      </c>
      <c r="G34" s="20"/>
      <c r="H34" s="20"/>
    </row>
    <row r="35" spans="1:8" ht="38.25">
      <c r="A35" s="37" t="s">
        <v>108</v>
      </c>
      <c r="B35" s="31" t="s">
        <v>9</v>
      </c>
      <c r="C35" s="8" t="s">
        <v>16</v>
      </c>
      <c r="D35" s="44"/>
      <c r="E35" s="82">
        <f>SUM(E36:E37)</f>
        <v>207000</v>
      </c>
      <c r="F35" s="82">
        <f>SUM(F36:F37)</f>
        <v>207000</v>
      </c>
      <c r="G35" s="82">
        <f>SUM(G36:G37)</f>
        <v>145100</v>
      </c>
      <c r="H35" s="82">
        <f>SUM(H36:H37)</f>
        <v>0</v>
      </c>
    </row>
    <row r="36" spans="1:8">
      <c r="A36" s="39" t="s">
        <v>109</v>
      </c>
      <c r="B36" s="40" t="s">
        <v>25</v>
      </c>
      <c r="C36" s="51" t="s">
        <v>84</v>
      </c>
      <c r="D36" s="39">
        <v>10</v>
      </c>
      <c r="E36" s="52">
        <v>63000</v>
      </c>
      <c r="F36" s="20">
        <f>E36-H36</f>
        <v>63000</v>
      </c>
      <c r="G36" s="52">
        <v>45100</v>
      </c>
      <c r="H36" s="52"/>
    </row>
    <row r="37" spans="1:8">
      <c r="A37" s="39" t="s">
        <v>110</v>
      </c>
      <c r="B37" s="50" t="s">
        <v>140</v>
      </c>
      <c r="C37" s="9" t="s">
        <v>85</v>
      </c>
      <c r="D37" s="38" t="s">
        <v>74</v>
      </c>
      <c r="E37" s="23">
        <v>144000</v>
      </c>
      <c r="F37" s="20">
        <f>E37-H37</f>
        <v>144000</v>
      </c>
      <c r="G37" s="24">
        <v>100000</v>
      </c>
      <c r="H37" s="52"/>
    </row>
    <row r="38" spans="1:8" ht="38.25">
      <c r="A38" s="37" t="s">
        <v>111</v>
      </c>
      <c r="B38" s="120" t="s">
        <v>19</v>
      </c>
      <c r="C38" s="49" t="s">
        <v>20</v>
      </c>
      <c r="D38" s="36"/>
      <c r="E38" s="82">
        <f t="shared" ref="E38:H39" si="1">SUM(E39)</f>
        <v>5300</v>
      </c>
      <c r="F38" s="82">
        <f t="shared" si="1"/>
        <v>5300</v>
      </c>
      <c r="G38" s="82">
        <f t="shared" si="1"/>
        <v>0</v>
      </c>
      <c r="H38" s="82">
        <f t="shared" si="1"/>
        <v>0</v>
      </c>
    </row>
    <row r="39" spans="1:8" ht="12.75" customHeight="1">
      <c r="A39" s="37" t="s">
        <v>112</v>
      </c>
      <c r="B39" s="116" t="s">
        <v>26</v>
      </c>
      <c r="C39" s="121" t="s">
        <v>71</v>
      </c>
      <c r="D39" s="36"/>
      <c r="E39" s="23">
        <f t="shared" si="1"/>
        <v>5300</v>
      </c>
      <c r="F39" s="23">
        <f t="shared" si="1"/>
        <v>5300</v>
      </c>
      <c r="G39" s="23">
        <f t="shared" si="1"/>
        <v>0</v>
      </c>
      <c r="H39" s="23">
        <f t="shared" si="1"/>
        <v>0</v>
      </c>
    </row>
    <row r="40" spans="1:8" ht="12.75" customHeight="1">
      <c r="A40" s="37" t="s">
        <v>113</v>
      </c>
      <c r="B40" s="116"/>
      <c r="C40" s="137" t="s">
        <v>360</v>
      </c>
      <c r="D40" s="134" t="s">
        <v>19</v>
      </c>
      <c r="E40" s="54">
        <v>5300</v>
      </c>
      <c r="F40" s="138">
        <f>E40-H40</f>
        <v>5300</v>
      </c>
      <c r="G40" s="54"/>
      <c r="H40" s="61"/>
    </row>
    <row r="41" spans="1:8">
      <c r="A41" s="37" t="s">
        <v>193</v>
      </c>
      <c r="B41" s="120" t="s">
        <v>79</v>
      </c>
      <c r="C41" s="49" t="s">
        <v>81</v>
      </c>
      <c r="D41" s="36"/>
      <c r="E41" s="27">
        <f>SUM(E42)</f>
        <v>651000</v>
      </c>
      <c r="F41" s="19">
        <f>E41-H41</f>
        <v>0</v>
      </c>
      <c r="G41" s="27">
        <f>SUM(G42)</f>
        <v>0</v>
      </c>
      <c r="H41" s="27">
        <f>SUM(H42)</f>
        <v>651000</v>
      </c>
    </row>
    <row r="42" spans="1:8" ht="12.75" customHeight="1">
      <c r="A42" s="37" t="s">
        <v>194</v>
      </c>
      <c r="B42" s="116" t="s">
        <v>82</v>
      </c>
      <c r="C42" s="121" t="s">
        <v>18</v>
      </c>
      <c r="D42" s="36" t="s">
        <v>10</v>
      </c>
      <c r="E42" s="28">
        <f>551000+100000</f>
        <v>651000</v>
      </c>
      <c r="F42" s="41">
        <f>E42-H42</f>
        <v>0</v>
      </c>
      <c r="G42" s="28"/>
      <c r="H42" s="28">
        <f>551000+100000</f>
        <v>651000</v>
      </c>
    </row>
    <row r="43" spans="1:8">
      <c r="A43" s="7" t="s">
        <v>195</v>
      </c>
      <c r="B43" s="13"/>
      <c r="C43" s="14" t="s">
        <v>142</v>
      </c>
      <c r="D43" s="15"/>
      <c r="E43" s="27">
        <f>E14+E35+E38+E41</f>
        <v>1134400</v>
      </c>
      <c r="F43" s="27">
        <f>F14+F35+F38+F41</f>
        <v>483400</v>
      </c>
      <c r="G43" s="27">
        <f>G14+G35+G38+G41</f>
        <v>311800</v>
      </c>
      <c r="H43" s="27">
        <f>H14+H35+H38+H41</f>
        <v>651000</v>
      </c>
    </row>
    <row r="44" spans="1:8">
      <c r="A44" s="145"/>
      <c r="B44" s="146"/>
      <c r="C44" s="146"/>
      <c r="D44" s="146"/>
      <c r="E44" s="146"/>
      <c r="F44" s="146"/>
      <c r="G44" s="146"/>
      <c r="H44" s="146"/>
    </row>
    <row r="45" spans="1:8">
      <c r="A45" s="113"/>
      <c r="D45" s="122"/>
      <c r="E45" s="122"/>
    </row>
    <row r="47" spans="1:8">
      <c r="E47" s="102"/>
    </row>
  </sheetData>
  <mergeCells count="15">
    <mergeCell ref="F1:H1"/>
    <mergeCell ref="F2:H2"/>
    <mergeCell ref="F3:H3"/>
    <mergeCell ref="E9:H9"/>
    <mergeCell ref="E10:E12"/>
    <mergeCell ref="F10:H10"/>
    <mergeCell ref="F11:G11"/>
    <mergeCell ref="H11:H12"/>
    <mergeCell ref="A44:H44"/>
    <mergeCell ref="A9:A12"/>
    <mergeCell ref="B9:B12"/>
    <mergeCell ref="C9:C12"/>
    <mergeCell ref="D9:D12"/>
    <mergeCell ref="A6:H6"/>
    <mergeCell ref="A7:H7"/>
  </mergeCells>
  <phoneticPr fontId="5" type="noConversion"/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4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12" ht="12.75" customHeight="1">
      <c r="A1" s="3"/>
      <c r="B1" s="3"/>
      <c r="C1" s="3"/>
      <c r="D1" s="34"/>
      <c r="E1" s="35"/>
      <c r="F1" s="157" t="s">
        <v>7</v>
      </c>
      <c r="G1" s="157"/>
      <c r="H1" s="157"/>
    </row>
    <row r="2" spans="1:12" ht="14.1" customHeight="1">
      <c r="A2" s="3"/>
      <c r="B2" s="3"/>
      <c r="C2" s="3"/>
      <c r="D2" s="34"/>
      <c r="E2" s="35"/>
      <c r="F2" s="157" t="s">
        <v>359</v>
      </c>
      <c r="G2" s="157"/>
      <c r="H2" s="157"/>
    </row>
    <row r="3" spans="1:12" ht="12.75" customHeight="1">
      <c r="A3" s="1"/>
      <c r="B3" s="2"/>
      <c r="C3" s="3"/>
      <c r="D3" s="35"/>
      <c r="E3" s="35"/>
      <c r="F3" s="157" t="s">
        <v>368</v>
      </c>
      <c r="G3" s="157"/>
      <c r="H3" s="157"/>
    </row>
    <row r="4" spans="1:12" ht="12.75" customHeight="1">
      <c r="A4" s="1"/>
      <c r="B4" s="2"/>
      <c r="C4" s="16"/>
      <c r="D4" s="16"/>
      <c r="E4" s="16"/>
      <c r="F4" s="164" t="s">
        <v>145</v>
      </c>
      <c r="G4" s="164"/>
      <c r="H4" s="164"/>
    </row>
    <row r="5" spans="1:12">
      <c r="A5" s="165" t="s">
        <v>352</v>
      </c>
      <c r="B5" s="165"/>
      <c r="C5" s="165"/>
      <c r="D5" s="165"/>
      <c r="E5" s="165"/>
      <c r="F5" s="165"/>
      <c r="G5" s="165"/>
      <c r="H5" s="165"/>
    </row>
    <row r="6" spans="1:12" ht="12.75" customHeight="1">
      <c r="A6" s="165"/>
      <c r="B6" s="165"/>
      <c r="C6" s="165"/>
      <c r="D6" s="165"/>
      <c r="E6" s="165"/>
      <c r="F6" s="165"/>
      <c r="G6" s="165"/>
      <c r="H6" s="165"/>
      <c r="I6" s="33"/>
    </row>
    <row r="7" spans="1:12">
      <c r="A7" s="165"/>
      <c r="B7" s="165"/>
      <c r="C7" s="165"/>
      <c r="D7" s="165"/>
      <c r="E7" s="165"/>
      <c r="F7" s="165"/>
      <c r="G7" s="165"/>
      <c r="H7" s="165"/>
    </row>
    <row r="8" spans="1:12" ht="12.75" customHeight="1">
      <c r="A8" s="33"/>
      <c r="B8" s="33"/>
      <c r="C8" s="33"/>
      <c r="D8" s="33"/>
      <c r="E8" s="33"/>
      <c r="F8" s="33"/>
      <c r="G8" s="33"/>
      <c r="H8" s="33"/>
    </row>
    <row r="9" spans="1:12">
      <c r="A9" s="1"/>
      <c r="B9" s="2"/>
      <c r="C9" s="3"/>
      <c r="D9" s="43"/>
      <c r="E9" s="109"/>
      <c r="F9" s="109"/>
      <c r="G9" s="109"/>
      <c r="H9" s="108" t="s">
        <v>281</v>
      </c>
    </row>
    <row r="10" spans="1:12" ht="12.75" customHeight="1">
      <c r="A10" s="147" t="s">
        <v>0</v>
      </c>
      <c r="B10" s="150" t="s">
        <v>1</v>
      </c>
      <c r="C10" s="147" t="s">
        <v>50</v>
      </c>
      <c r="D10" s="153" t="s">
        <v>2</v>
      </c>
      <c r="E10" s="158" t="s">
        <v>67</v>
      </c>
      <c r="F10" s="159"/>
      <c r="G10" s="159"/>
      <c r="H10" s="160"/>
    </row>
    <row r="11" spans="1:12" ht="25.5" customHeight="1">
      <c r="A11" s="148"/>
      <c r="B11" s="151"/>
      <c r="C11" s="148"/>
      <c r="D11" s="154"/>
      <c r="E11" s="147" t="s">
        <v>3</v>
      </c>
      <c r="F11" s="161" t="s">
        <v>4</v>
      </c>
      <c r="G11" s="161"/>
      <c r="H11" s="162"/>
    </row>
    <row r="12" spans="1:12">
      <c r="A12" s="148"/>
      <c r="B12" s="151"/>
      <c r="C12" s="148"/>
      <c r="D12" s="154"/>
      <c r="E12" s="148"/>
      <c r="F12" s="163" t="s">
        <v>132</v>
      </c>
      <c r="G12" s="163"/>
      <c r="H12" s="147" t="s">
        <v>51</v>
      </c>
    </row>
    <row r="13" spans="1:12" ht="25.5">
      <c r="A13" s="149"/>
      <c r="B13" s="152"/>
      <c r="C13" s="149"/>
      <c r="D13" s="155"/>
      <c r="E13" s="149"/>
      <c r="F13" s="91" t="s">
        <v>133</v>
      </c>
      <c r="G13" s="93" t="s">
        <v>8</v>
      </c>
      <c r="H13" s="149"/>
    </row>
    <row r="14" spans="1:12">
      <c r="A14" s="5">
        <v>1</v>
      </c>
      <c r="B14" s="6" t="s">
        <v>5</v>
      </c>
      <c r="C14" s="4">
        <v>3</v>
      </c>
      <c r="D14" s="6" t="s">
        <v>6</v>
      </c>
      <c r="E14" s="4">
        <v>5</v>
      </c>
      <c r="F14" s="4">
        <v>6</v>
      </c>
      <c r="G14" s="4">
        <v>7</v>
      </c>
      <c r="H14" s="4">
        <v>8</v>
      </c>
    </row>
    <row r="15" spans="1:12" ht="25.5">
      <c r="A15" s="37" t="s">
        <v>87</v>
      </c>
      <c r="B15" s="86" t="s">
        <v>10</v>
      </c>
      <c r="C15" s="17" t="s">
        <v>11</v>
      </c>
      <c r="D15" s="12"/>
      <c r="E15" s="81">
        <f>SUM(E16:E37)</f>
        <v>4142200</v>
      </c>
      <c r="F15" s="81">
        <f>SUM(F16:F37)</f>
        <v>4128200</v>
      </c>
      <c r="G15" s="81">
        <f>SUM(G16:G37)</f>
        <v>2236500</v>
      </c>
      <c r="H15" s="81">
        <f>SUM(H16:H37)</f>
        <v>14000</v>
      </c>
      <c r="L15" s="47"/>
    </row>
    <row r="16" spans="1:12">
      <c r="A16" s="32" t="s">
        <v>88</v>
      </c>
      <c r="B16" s="12" t="s">
        <v>29</v>
      </c>
      <c r="C16" s="18" t="s">
        <v>12</v>
      </c>
      <c r="D16" s="12" t="s">
        <v>72</v>
      </c>
      <c r="E16" s="20">
        <f>298900+2000+200</f>
        <v>301100</v>
      </c>
      <c r="F16" s="20">
        <f t="shared" ref="F16:F27" si="0">E16-H16</f>
        <v>299100</v>
      </c>
      <c r="G16" s="20">
        <v>113500</v>
      </c>
      <c r="H16" s="20">
        <v>2000</v>
      </c>
    </row>
    <row r="17" spans="1:8">
      <c r="A17" s="32" t="s">
        <v>89</v>
      </c>
      <c r="B17" s="12" t="s">
        <v>30</v>
      </c>
      <c r="C17" s="18" t="s">
        <v>257</v>
      </c>
      <c r="D17" s="12" t="s">
        <v>73</v>
      </c>
      <c r="E17" s="20">
        <v>218900</v>
      </c>
      <c r="F17" s="20">
        <f t="shared" si="0"/>
        <v>218900</v>
      </c>
      <c r="G17" s="20">
        <v>85000</v>
      </c>
      <c r="H17" s="20"/>
    </row>
    <row r="18" spans="1:8">
      <c r="A18" s="37" t="s">
        <v>90</v>
      </c>
      <c r="B18" s="42" t="s">
        <v>31</v>
      </c>
      <c r="C18" s="18" t="s">
        <v>277</v>
      </c>
      <c r="D18" s="42" t="s">
        <v>73</v>
      </c>
      <c r="E18" s="41">
        <v>275800</v>
      </c>
      <c r="F18" s="41">
        <f t="shared" si="0"/>
        <v>274900</v>
      </c>
      <c r="G18" s="41">
        <v>142700</v>
      </c>
      <c r="H18" s="41">
        <v>900</v>
      </c>
    </row>
    <row r="19" spans="1:8" ht="25.5">
      <c r="A19" s="37" t="s">
        <v>91</v>
      </c>
      <c r="B19" s="42" t="s">
        <v>32</v>
      </c>
      <c r="C19" s="18" t="s">
        <v>258</v>
      </c>
      <c r="D19" s="42" t="s">
        <v>73</v>
      </c>
      <c r="E19" s="41">
        <v>212700</v>
      </c>
      <c r="F19" s="41">
        <f t="shared" si="0"/>
        <v>212700</v>
      </c>
      <c r="G19" s="41">
        <v>99400</v>
      </c>
      <c r="H19" s="41"/>
    </row>
    <row r="20" spans="1:8">
      <c r="A20" s="37" t="s">
        <v>92</v>
      </c>
      <c r="B20" s="42" t="s">
        <v>33</v>
      </c>
      <c r="C20" s="18" t="s">
        <v>278</v>
      </c>
      <c r="D20" s="42" t="s">
        <v>73</v>
      </c>
      <c r="E20" s="41">
        <v>260600</v>
      </c>
      <c r="F20" s="41">
        <f t="shared" si="0"/>
        <v>258600</v>
      </c>
      <c r="G20" s="41">
        <v>132300</v>
      </c>
      <c r="H20" s="41">
        <v>2000</v>
      </c>
    </row>
    <row r="21" spans="1:8" ht="12.75" customHeight="1">
      <c r="A21" s="37" t="s">
        <v>93</v>
      </c>
      <c r="B21" s="42" t="s">
        <v>34</v>
      </c>
      <c r="C21" s="18" t="s">
        <v>279</v>
      </c>
      <c r="D21" s="42" t="s">
        <v>73</v>
      </c>
      <c r="E21" s="41">
        <v>254200</v>
      </c>
      <c r="F21" s="41">
        <f t="shared" si="0"/>
        <v>253100</v>
      </c>
      <c r="G21" s="41">
        <v>94600</v>
      </c>
      <c r="H21" s="41">
        <v>1100</v>
      </c>
    </row>
    <row r="22" spans="1:8">
      <c r="A22" s="37" t="s">
        <v>94</v>
      </c>
      <c r="B22" s="42" t="s">
        <v>35</v>
      </c>
      <c r="C22" s="18" t="s">
        <v>269</v>
      </c>
      <c r="D22" s="42" t="s">
        <v>73</v>
      </c>
      <c r="E22" s="41">
        <v>209300</v>
      </c>
      <c r="F22" s="41">
        <f t="shared" si="0"/>
        <v>209300</v>
      </c>
      <c r="G22" s="41">
        <v>107700</v>
      </c>
      <c r="H22" s="41"/>
    </row>
    <row r="23" spans="1:8" ht="12.75" customHeight="1">
      <c r="A23" s="37" t="s">
        <v>95</v>
      </c>
      <c r="B23" s="42" t="s">
        <v>36</v>
      </c>
      <c r="C23" s="18" t="s">
        <v>13</v>
      </c>
      <c r="D23" s="42" t="s">
        <v>73</v>
      </c>
      <c r="E23" s="41">
        <v>180700</v>
      </c>
      <c r="F23" s="41">
        <f t="shared" si="0"/>
        <v>180700</v>
      </c>
      <c r="G23" s="41">
        <v>97700</v>
      </c>
      <c r="H23" s="41"/>
    </row>
    <row r="24" spans="1:8" ht="25.5">
      <c r="A24" s="37" t="s">
        <v>96</v>
      </c>
      <c r="B24" s="42" t="s">
        <v>37</v>
      </c>
      <c r="C24" s="18" t="s">
        <v>259</v>
      </c>
      <c r="D24" s="42" t="s">
        <v>73</v>
      </c>
      <c r="E24" s="41">
        <v>92300</v>
      </c>
      <c r="F24" s="41">
        <f t="shared" si="0"/>
        <v>92300</v>
      </c>
      <c r="G24" s="41">
        <v>44900</v>
      </c>
      <c r="H24" s="41"/>
    </row>
    <row r="25" spans="1:8">
      <c r="A25" s="37" t="s">
        <v>97</v>
      </c>
      <c r="B25" s="42" t="s">
        <v>38</v>
      </c>
      <c r="C25" s="18" t="s">
        <v>260</v>
      </c>
      <c r="D25" s="42" t="s">
        <v>73</v>
      </c>
      <c r="E25" s="41">
        <v>143400</v>
      </c>
      <c r="F25" s="41">
        <f t="shared" si="0"/>
        <v>142200</v>
      </c>
      <c r="G25" s="41">
        <v>70000</v>
      </c>
      <c r="H25" s="41">
        <v>1200</v>
      </c>
    </row>
    <row r="26" spans="1:8">
      <c r="A26" s="37" t="s">
        <v>98</v>
      </c>
      <c r="B26" s="42" t="s">
        <v>39</v>
      </c>
      <c r="C26" s="18" t="s">
        <v>261</v>
      </c>
      <c r="D26" s="42" t="s">
        <v>73</v>
      </c>
      <c r="E26" s="41">
        <v>136100</v>
      </c>
      <c r="F26" s="41">
        <f t="shared" si="0"/>
        <v>136100</v>
      </c>
      <c r="G26" s="41">
        <v>67800</v>
      </c>
      <c r="H26" s="41"/>
    </row>
    <row r="27" spans="1:8">
      <c r="A27" s="37" t="s">
        <v>99</v>
      </c>
      <c r="B27" s="42" t="s">
        <v>40</v>
      </c>
      <c r="C27" s="18" t="s">
        <v>280</v>
      </c>
      <c r="D27" s="42" t="s">
        <v>73</v>
      </c>
      <c r="E27" s="41">
        <v>114300</v>
      </c>
      <c r="F27" s="41">
        <f t="shared" si="0"/>
        <v>114300</v>
      </c>
      <c r="G27" s="41">
        <v>63200</v>
      </c>
      <c r="H27" s="41"/>
    </row>
    <row r="28" spans="1:8">
      <c r="A28" s="32" t="s">
        <v>100</v>
      </c>
      <c r="B28" s="12" t="s">
        <v>41</v>
      </c>
      <c r="C28" s="18" t="s">
        <v>14</v>
      </c>
      <c r="D28" s="12" t="s">
        <v>73</v>
      </c>
      <c r="E28" s="20">
        <v>225600</v>
      </c>
      <c r="F28" s="20">
        <f>E28-H28</f>
        <v>224800</v>
      </c>
      <c r="G28" s="20">
        <v>128800</v>
      </c>
      <c r="H28" s="20">
        <v>800</v>
      </c>
    </row>
    <row r="29" spans="1:8">
      <c r="A29" s="32" t="s">
        <v>101</v>
      </c>
      <c r="B29" s="12" t="s">
        <v>42</v>
      </c>
      <c r="C29" s="18" t="s">
        <v>15</v>
      </c>
      <c r="D29" s="12" t="s">
        <v>73</v>
      </c>
      <c r="E29" s="20">
        <v>332000</v>
      </c>
      <c r="F29" s="20">
        <f>E29-H29</f>
        <v>332000</v>
      </c>
      <c r="G29" s="20">
        <v>205200</v>
      </c>
      <c r="H29" s="20"/>
    </row>
    <row r="30" spans="1:8">
      <c r="A30" s="32" t="s">
        <v>102</v>
      </c>
      <c r="B30" s="12" t="s">
        <v>43</v>
      </c>
      <c r="C30" s="18" t="s">
        <v>127</v>
      </c>
      <c r="D30" s="12" t="s">
        <v>73</v>
      </c>
      <c r="E30" s="20">
        <v>172600</v>
      </c>
      <c r="F30" s="20">
        <f>E30-H30</f>
        <v>172600</v>
      </c>
      <c r="G30" s="20">
        <v>103100</v>
      </c>
      <c r="H30" s="20"/>
    </row>
    <row r="31" spans="1:8" ht="12.75" customHeight="1">
      <c r="A31" s="37" t="s">
        <v>103</v>
      </c>
      <c r="B31" s="42" t="s">
        <v>44</v>
      </c>
      <c r="C31" s="18" t="s">
        <v>262</v>
      </c>
      <c r="D31" s="12" t="s">
        <v>73</v>
      </c>
      <c r="E31" s="41">
        <v>143100</v>
      </c>
      <c r="F31" s="41">
        <f>E31-H31</f>
        <v>143100</v>
      </c>
      <c r="G31" s="41">
        <v>106300</v>
      </c>
      <c r="H31" s="41"/>
    </row>
    <row r="32" spans="1:8" ht="12.75" customHeight="1">
      <c r="A32" s="32" t="s">
        <v>104</v>
      </c>
      <c r="B32" s="12" t="s">
        <v>45</v>
      </c>
      <c r="C32" s="18" t="s">
        <v>53</v>
      </c>
      <c r="D32" s="12" t="s">
        <v>73</v>
      </c>
      <c r="E32" s="20">
        <v>340700</v>
      </c>
      <c r="F32" s="41">
        <f t="shared" ref="F32:F39" si="1">E32-H32</f>
        <v>336200</v>
      </c>
      <c r="G32" s="20">
        <v>245700</v>
      </c>
      <c r="H32" s="20">
        <v>4500</v>
      </c>
    </row>
    <row r="33" spans="1:8" ht="25.5">
      <c r="A33" s="37" t="s">
        <v>105</v>
      </c>
      <c r="B33" s="42" t="s">
        <v>46</v>
      </c>
      <c r="C33" s="18" t="s">
        <v>256</v>
      </c>
      <c r="D33" s="42" t="s">
        <v>73</v>
      </c>
      <c r="E33" s="41">
        <v>141300</v>
      </c>
      <c r="F33" s="41">
        <f t="shared" si="1"/>
        <v>139800</v>
      </c>
      <c r="G33" s="41">
        <v>98900</v>
      </c>
      <c r="H33" s="41">
        <v>1500</v>
      </c>
    </row>
    <row r="34" spans="1:8" ht="25.5">
      <c r="A34" s="37" t="s">
        <v>106</v>
      </c>
      <c r="B34" s="42" t="s">
        <v>47</v>
      </c>
      <c r="C34" s="18" t="s">
        <v>68</v>
      </c>
      <c r="D34" s="42" t="s">
        <v>73</v>
      </c>
      <c r="E34" s="41">
        <v>227900</v>
      </c>
      <c r="F34" s="41">
        <f t="shared" si="1"/>
        <v>227900</v>
      </c>
      <c r="G34" s="41">
        <v>148000</v>
      </c>
      <c r="H34" s="41"/>
    </row>
    <row r="35" spans="1:8" ht="12.75" customHeight="1">
      <c r="A35" s="37" t="s">
        <v>107</v>
      </c>
      <c r="B35" s="42" t="s">
        <v>48</v>
      </c>
      <c r="C35" s="18" t="s">
        <v>286</v>
      </c>
      <c r="D35" s="42" t="s">
        <v>73</v>
      </c>
      <c r="E35" s="41">
        <v>50600</v>
      </c>
      <c r="F35" s="41">
        <f t="shared" si="1"/>
        <v>50600</v>
      </c>
      <c r="G35" s="41">
        <v>35900</v>
      </c>
      <c r="H35" s="41"/>
    </row>
    <row r="36" spans="1:8">
      <c r="A36" s="32" t="s">
        <v>108</v>
      </c>
      <c r="B36" s="12" t="s">
        <v>52</v>
      </c>
      <c r="C36" s="18" t="s">
        <v>54</v>
      </c>
      <c r="D36" s="12" t="s">
        <v>73</v>
      </c>
      <c r="E36" s="20">
        <f>79800+1000</f>
        <v>80800</v>
      </c>
      <c r="F36" s="20">
        <f t="shared" si="1"/>
        <v>80800</v>
      </c>
      <c r="G36" s="20">
        <v>45800</v>
      </c>
      <c r="H36" s="20"/>
    </row>
    <row r="37" spans="1:8" ht="12" customHeight="1">
      <c r="A37" s="37" t="s">
        <v>109</v>
      </c>
      <c r="B37" s="166" t="s">
        <v>55</v>
      </c>
      <c r="C37" s="18" t="s">
        <v>71</v>
      </c>
      <c r="D37" s="12"/>
      <c r="E37" s="41">
        <f>SUM(E38:E43)</f>
        <v>28200</v>
      </c>
      <c r="F37" s="41">
        <f>SUM(F38:F43)</f>
        <v>28200</v>
      </c>
      <c r="G37" s="41">
        <f>SUM(G38:G43)</f>
        <v>0</v>
      </c>
      <c r="H37" s="41">
        <f>SUM(H38:H43)</f>
        <v>0</v>
      </c>
    </row>
    <row r="38" spans="1:8" ht="25.5">
      <c r="A38" s="37" t="s">
        <v>110</v>
      </c>
      <c r="B38" s="167"/>
      <c r="C38" s="57" t="s">
        <v>287</v>
      </c>
      <c r="D38" s="114" t="s">
        <v>73</v>
      </c>
      <c r="E38" s="99">
        <v>3000</v>
      </c>
      <c r="F38" s="99">
        <f t="shared" si="1"/>
        <v>3000</v>
      </c>
      <c r="G38" s="41"/>
      <c r="H38" s="41"/>
    </row>
    <row r="39" spans="1:8">
      <c r="A39" s="37" t="s">
        <v>111</v>
      </c>
      <c r="B39" s="167"/>
      <c r="C39" s="57" t="s">
        <v>288</v>
      </c>
      <c r="D39" s="114" t="s">
        <v>73</v>
      </c>
      <c r="E39" s="99">
        <f>6000-2000</f>
        <v>4000</v>
      </c>
      <c r="F39" s="99">
        <f t="shared" si="1"/>
        <v>4000</v>
      </c>
      <c r="G39" s="41"/>
      <c r="H39" s="41"/>
    </row>
    <row r="40" spans="1:8" ht="25.5" customHeight="1">
      <c r="A40" s="37" t="s">
        <v>112</v>
      </c>
      <c r="B40" s="167"/>
      <c r="C40" s="57" t="s">
        <v>345</v>
      </c>
      <c r="D40" s="114" t="s">
        <v>73</v>
      </c>
      <c r="E40" s="99">
        <v>13600</v>
      </c>
      <c r="F40" s="99">
        <f>E40-H40</f>
        <v>13600</v>
      </c>
      <c r="G40" s="41"/>
      <c r="H40" s="41"/>
    </row>
    <row r="41" spans="1:8" ht="12.75" customHeight="1">
      <c r="A41" s="37" t="s">
        <v>113</v>
      </c>
      <c r="B41" s="167"/>
      <c r="C41" s="57" t="s">
        <v>289</v>
      </c>
      <c r="D41" s="114" t="s">
        <v>73</v>
      </c>
      <c r="E41" s="99">
        <f>4000-200</f>
        <v>3800</v>
      </c>
      <c r="F41" s="99">
        <f>E41-H41</f>
        <v>3800</v>
      </c>
      <c r="G41" s="41"/>
      <c r="H41" s="41"/>
    </row>
    <row r="42" spans="1:8">
      <c r="A42" s="37" t="s">
        <v>193</v>
      </c>
      <c r="B42" s="167"/>
      <c r="C42" s="57" t="s">
        <v>290</v>
      </c>
      <c r="D42" s="114" t="s">
        <v>73</v>
      </c>
      <c r="E42" s="99">
        <v>3000</v>
      </c>
      <c r="F42" s="99">
        <f>E42-H42</f>
        <v>3000</v>
      </c>
      <c r="G42" s="41"/>
      <c r="H42" s="41"/>
    </row>
    <row r="43" spans="1:8">
      <c r="A43" s="37" t="s">
        <v>194</v>
      </c>
      <c r="B43" s="168"/>
      <c r="C43" s="57" t="s">
        <v>291</v>
      </c>
      <c r="D43" s="114" t="s">
        <v>73</v>
      </c>
      <c r="E43" s="99">
        <v>800</v>
      </c>
      <c r="F43" s="99">
        <f>E43-H43</f>
        <v>800</v>
      </c>
      <c r="G43" s="41"/>
      <c r="H43" s="41"/>
    </row>
    <row r="44" spans="1:8" ht="38.25">
      <c r="A44" s="39" t="s">
        <v>195</v>
      </c>
      <c r="B44" s="31" t="s">
        <v>9</v>
      </c>
      <c r="C44" s="8" t="s">
        <v>16</v>
      </c>
      <c r="D44" s="44"/>
      <c r="E44" s="82">
        <f>E45+E46+E47+E48+E49</f>
        <v>1963200</v>
      </c>
      <c r="F44" s="82">
        <f>F45+F46+F47+F48+F49</f>
        <v>1963200</v>
      </c>
      <c r="G44" s="82">
        <f>G45+G46+G47+G48+G49</f>
        <v>468700</v>
      </c>
      <c r="H44" s="82">
        <f>H45+H46+H47+H48+H49</f>
        <v>0</v>
      </c>
    </row>
    <row r="45" spans="1:8" ht="25.5">
      <c r="A45" s="39" t="s">
        <v>196</v>
      </c>
      <c r="B45" s="40" t="s">
        <v>23</v>
      </c>
      <c r="C45" s="51" t="s">
        <v>17</v>
      </c>
      <c r="D45" s="39">
        <v>10</v>
      </c>
      <c r="E45" s="101">
        <v>294700</v>
      </c>
      <c r="F45" s="41">
        <f>E45-H45</f>
        <v>294700</v>
      </c>
      <c r="G45" s="124">
        <v>193600</v>
      </c>
      <c r="H45" s="101"/>
    </row>
    <row r="46" spans="1:8" ht="12.75" customHeight="1">
      <c r="A46" s="39" t="s">
        <v>197</v>
      </c>
      <c r="B46" s="50"/>
      <c r="C46" s="115" t="s">
        <v>244</v>
      </c>
      <c r="D46" s="37">
        <v>10</v>
      </c>
      <c r="E46" s="25">
        <v>26000</v>
      </c>
      <c r="F46" s="41">
        <f>E46-H46</f>
        <v>26000</v>
      </c>
      <c r="G46" s="28">
        <v>19800</v>
      </c>
      <c r="H46" s="25"/>
    </row>
    <row r="47" spans="1:8">
      <c r="A47" s="39" t="s">
        <v>198</v>
      </c>
      <c r="B47" s="50" t="s">
        <v>24</v>
      </c>
      <c r="C47" s="9" t="s">
        <v>85</v>
      </c>
      <c r="D47" s="38" t="s">
        <v>74</v>
      </c>
      <c r="E47" s="28">
        <f>91600+18800</f>
        <v>110400</v>
      </c>
      <c r="F47" s="41">
        <f>E47-H47</f>
        <v>110400</v>
      </c>
      <c r="G47" s="28">
        <v>68200</v>
      </c>
      <c r="H47" s="26"/>
    </row>
    <row r="48" spans="1:8">
      <c r="A48" s="39" t="s">
        <v>199</v>
      </c>
      <c r="B48" s="50" t="s">
        <v>25</v>
      </c>
      <c r="C48" s="9" t="s">
        <v>84</v>
      </c>
      <c r="D48" s="38" t="s">
        <v>74</v>
      </c>
      <c r="E48" s="28">
        <v>268100</v>
      </c>
      <c r="F48" s="41">
        <f>E48-H48</f>
        <v>268100</v>
      </c>
      <c r="G48" s="28">
        <v>187100</v>
      </c>
      <c r="H48" s="28"/>
    </row>
    <row r="49" spans="1:8" ht="12.75" customHeight="1">
      <c r="A49" s="39" t="s">
        <v>200</v>
      </c>
      <c r="B49" s="169" t="s">
        <v>140</v>
      </c>
      <c r="C49" s="11" t="s">
        <v>71</v>
      </c>
      <c r="D49" s="38"/>
      <c r="E49" s="28">
        <f>SUM(E50:E62)</f>
        <v>1264000</v>
      </c>
      <c r="F49" s="28">
        <f>SUM(F50:F62)</f>
        <v>1264000</v>
      </c>
      <c r="G49" s="28">
        <f>SUM(G50:G62)</f>
        <v>0</v>
      </c>
      <c r="H49" s="28">
        <f>SUM(H50:H62)</f>
        <v>0</v>
      </c>
    </row>
    <row r="50" spans="1:8" ht="27" customHeight="1">
      <c r="A50" s="37" t="s">
        <v>201</v>
      </c>
      <c r="B50" s="170"/>
      <c r="C50" s="136" t="s">
        <v>338</v>
      </c>
      <c r="D50" s="53" t="s">
        <v>74</v>
      </c>
      <c r="E50" s="58">
        <v>20000</v>
      </c>
      <c r="F50" s="99">
        <f>E50-H50</f>
        <v>20000</v>
      </c>
      <c r="G50" s="54"/>
      <c r="H50" s="56"/>
    </row>
    <row r="51" spans="1:8" ht="25.5">
      <c r="A51" s="37" t="s">
        <v>202</v>
      </c>
      <c r="B51" s="170"/>
      <c r="C51" s="55" t="s">
        <v>292</v>
      </c>
      <c r="D51" s="53" t="s">
        <v>74</v>
      </c>
      <c r="E51" s="58">
        <v>8000</v>
      </c>
      <c r="F51" s="99">
        <f>E51-H51</f>
        <v>8000</v>
      </c>
      <c r="G51" s="54"/>
      <c r="H51" s="56"/>
    </row>
    <row r="52" spans="1:8" ht="25.5">
      <c r="A52" s="37" t="s">
        <v>203</v>
      </c>
      <c r="B52" s="170"/>
      <c r="C52" s="55" t="s">
        <v>293</v>
      </c>
      <c r="D52" s="53" t="s">
        <v>74</v>
      </c>
      <c r="E52" s="58">
        <f>8000+2000</f>
        <v>10000</v>
      </c>
      <c r="F52" s="99">
        <f t="shared" ref="F52:F61" si="2">E52-H52</f>
        <v>10000</v>
      </c>
      <c r="G52" s="54"/>
      <c r="H52" s="56"/>
    </row>
    <row r="53" spans="1:8">
      <c r="A53" s="37" t="s">
        <v>204</v>
      </c>
      <c r="B53" s="170"/>
      <c r="C53" s="55" t="s">
        <v>285</v>
      </c>
      <c r="D53" s="53" t="s">
        <v>74</v>
      </c>
      <c r="E53" s="58">
        <v>474000</v>
      </c>
      <c r="F53" s="99">
        <f t="shared" si="2"/>
        <v>474000</v>
      </c>
      <c r="G53" s="54"/>
      <c r="H53" s="56"/>
    </row>
    <row r="54" spans="1:8">
      <c r="A54" s="37" t="s">
        <v>205</v>
      </c>
      <c r="B54" s="170"/>
      <c r="C54" s="55" t="s">
        <v>294</v>
      </c>
      <c r="D54" s="53" t="s">
        <v>74</v>
      </c>
      <c r="E54" s="58">
        <v>20000</v>
      </c>
      <c r="F54" s="99">
        <f t="shared" si="2"/>
        <v>20000</v>
      </c>
      <c r="G54" s="54"/>
      <c r="H54" s="54"/>
    </row>
    <row r="55" spans="1:8">
      <c r="A55" s="37" t="s">
        <v>206</v>
      </c>
      <c r="B55" s="170"/>
      <c r="C55" s="55" t="s">
        <v>295</v>
      </c>
      <c r="D55" s="53" t="s">
        <v>74</v>
      </c>
      <c r="E55" s="58">
        <v>1500</v>
      </c>
      <c r="F55" s="99">
        <f t="shared" si="2"/>
        <v>1500</v>
      </c>
      <c r="G55" s="54"/>
      <c r="H55" s="54"/>
    </row>
    <row r="56" spans="1:8">
      <c r="A56" s="37" t="s">
        <v>207</v>
      </c>
      <c r="B56" s="170"/>
      <c r="C56" s="55" t="s">
        <v>296</v>
      </c>
      <c r="D56" s="53" t="s">
        <v>74</v>
      </c>
      <c r="E56" s="58"/>
      <c r="F56" s="99">
        <f t="shared" si="2"/>
        <v>0</v>
      </c>
      <c r="G56" s="54"/>
      <c r="H56" s="54"/>
    </row>
    <row r="57" spans="1:8">
      <c r="A57" s="37" t="s">
        <v>208</v>
      </c>
      <c r="B57" s="170"/>
      <c r="C57" s="55" t="s">
        <v>297</v>
      </c>
      <c r="D57" s="53" t="s">
        <v>74</v>
      </c>
      <c r="E57" s="58">
        <v>60000</v>
      </c>
      <c r="F57" s="99">
        <f t="shared" si="2"/>
        <v>60000</v>
      </c>
      <c r="G57" s="54"/>
      <c r="H57" s="56"/>
    </row>
    <row r="58" spans="1:8" ht="25.5">
      <c r="A58" s="37" t="s">
        <v>209</v>
      </c>
      <c r="B58" s="170"/>
      <c r="C58" s="55" t="s">
        <v>346</v>
      </c>
      <c r="D58" s="53" t="s">
        <v>74</v>
      </c>
      <c r="E58" s="58">
        <v>15000</v>
      </c>
      <c r="F58" s="99">
        <f t="shared" si="2"/>
        <v>15000</v>
      </c>
      <c r="G58" s="54"/>
      <c r="H58" s="56"/>
    </row>
    <row r="59" spans="1:8">
      <c r="A59" s="37" t="s">
        <v>210</v>
      </c>
      <c r="B59" s="170"/>
      <c r="C59" s="55" t="s">
        <v>298</v>
      </c>
      <c r="D59" s="53" t="s">
        <v>74</v>
      </c>
      <c r="E59" s="58">
        <v>96000</v>
      </c>
      <c r="F59" s="99">
        <f t="shared" si="2"/>
        <v>96000</v>
      </c>
      <c r="G59" s="54"/>
      <c r="H59" s="56"/>
    </row>
    <row r="60" spans="1:8" ht="25.5">
      <c r="A60" s="37" t="s">
        <v>211</v>
      </c>
      <c r="B60" s="170"/>
      <c r="C60" s="55" t="s">
        <v>347</v>
      </c>
      <c r="D60" s="53" t="s">
        <v>74</v>
      </c>
      <c r="E60" s="58">
        <v>9500</v>
      </c>
      <c r="F60" s="99">
        <f t="shared" si="2"/>
        <v>9500</v>
      </c>
      <c r="G60" s="54"/>
      <c r="H60" s="56"/>
    </row>
    <row r="61" spans="1:8" ht="12.75" customHeight="1">
      <c r="A61" s="37" t="s">
        <v>212</v>
      </c>
      <c r="B61" s="170"/>
      <c r="C61" s="55" t="s">
        <v>299</v>
      </c>
      <c r="D61" s="53" t="s">
        <v>74</v>
      </c>
      <c r="E61" s="58">
        <v>470000</v>
      </c>
      <c r="F61" s="99">
        <f t="shared" si="2"/>
        <v>470000</v>
      </c>
      <c r="G61" s="54"/>
      <c r="H61" s="56"/>
    </row>
    <row r="62" spans="1:8">
      <c r="A62" s="37" t="s">
        <v>213</v>
      </c>
      <c r="B62" s="170"/>
      <c r="C62" s="55" t="s">
        <v>300</v>
      </c>
      <c r="D62" s="53" t="s">
        <v>74</v>
      </c>
      <c r="E62" s="58">
        <v>80000</v>
      </c>
      <c r="F62" s="99">
        <f>E62-H62</f>
        <v>80000</v>
      </c>
      <c r="G62" s="54"/>
      <c r="H62" s="56"/>
    </row>
    <row r="63" spans="1:8" ht="38.25">
      <c r="A63" s="37" t="s">
        <v>214</v>
      </c>
      <c r="B63" s="62" t="s">
        <v>56</v>
      </c>
      <c r="C63" s="22" t="s">
        <v>283</v>
      </c>
      <c r="D63" s="46"/>
      <c r="E63" s="82">
        <f>SUM(E64:E71)</f>
        <v>1486000</v>
      </c>
      <c r="F63" s="82">
        <f>SUM(F64:F71)</f>
        <v>1473400</v>
      </c>
      <c r="G63" s="82">
        <f>SUM(G64:G71)</f>
        <v>770400</v>
      </c>
      <c r="H63" s="82">
        <f>SUM(H64:H71)</f>
        <v>12600</v>
      </c>
    </row>
    <row r="64" spans="1:8">
      <c r="A64" s="37" t="s">
        <v>215</v>
      </c>
      <c r="B64" s="36" t="s">
        <v>60</v>
      </c>
      <c r="C64" s="9" t="s">
        <v>57</v>
      </c>
      <c r="D64" s="45" t="s">
        <v>77</v>
      </c>
      <c r="E64" s="23">
        <v>141000</v>
      </c>
      <c r="F64" s="41">
        <f t="shared" ref="F64:F70" si="3">E64-H64</f>
        <v>138900</v>
      </c>
      <c r="G64" s="23">
        <v>93800</v>
      </c>
      <c r="H64" s="23">
        <v>2100</v>
      </c>
    </row>
    <row r="65" spans="1:8" ht="25.5">
      <c r="A65" s="37" t="s">
        <v>216</v>
      </c>
      <c r="B65" s="36" t="s">
        <v>61</v>
      </c>
      <c r="C65" s="9" t="s">
        <v>251</v>
      </c>
      <c r="D65" s="38" t="s">
        <v>77</v>
      </c>
      <c r="E65" s="28">
        <v>507600</v>
      </c>
      <c r="F65" s="41">
        <f t="shared" si="3"/>
        <v>507600</v>
      </c>
      <c r="G65" s="28">
        <v>330000</v>
      </c>
      <c r="H65" s="28"/>
    </row>
    <row r="66" spans="1:8">
      <c r="A66" s="37" t="s">
        <v>217</v>
      </c>
      <c r="B66" s="36" t="s">
        <v>62</v>
      </c>
      <c r="C66" s="60" t="s">
        <v>76</v>
      </c>
      <c r="D66" s="38" t="s">
        <v>77</v>
      </c>
      <c r="E66" s="28">
        <v>340900</v>
      </c>
      <c r="F66" s="41">
        <f t="shared" si="3"/>
        <v>335700</v>
      </c>
      <c r="G66" s="28">
        <v>193000</v>
      </c>
      <c r="H66" s="28">
        <v>5200</v>
      </c>
    </row>
    <row r="67" spans="1:8" ht="12.75" customHeight="1">
      <c r="A67" s="37" t="s">
        <v>218</v>
      </c>
      <c r="B67" s="36" t="s">
        <v>63</v>
      </c>
      <c r="C67" s="9" t="s">
        <v>141</v>
      </c>
      <c r="D67" s="38" t="s">
        <v>77</v>
      </c>
      <c r="E67" s="28">
        <f>57700+500</f>
        <v>58200</v>
      </c>
      <c r="F67" s="41">
        <f t="shared" si="3"/>
        <v>58200</v>
      </c>
      <c r="G67" s="28">
        <v>39700</v>
      </c>
      <c r="H67" s="28"/>
    </row>
    <row r="68" spans="1:8">
      <c r="A68" s="37" t="s">
        <v>219</v>
      </c>
      <c r="B68" s="36" t="s">
        <v>64</v>
      </c>
      <c r="C68" s="60" t="s">
        <v>58</v>
      </c>
      <c r="D68" s="38" t="s">
        <v>77</v>
      </c>
      <c r="E68" s="28">
        <f>61100+500</f>
        <v>61600</v>
      </c>
      <c r="F68" s="41">
        <f t="shared" si="3"/>
        <v>58100</v>
      </c>
      <c r="G68" s="28">
        <v>37900</v>
      </c>
      <c r="H68" s="28">
        <v>3500</v>
      </c>
    </row>
    <row r="69" spans="1:8" ht="12.75" customHeight="1">
      <c r="A69" s="37" t="s">
        <v>220</v>
      </c>
      <c r="B69" s="36" t="s">
        <v>65</v>
      </c>
      <c r="C69" s="9" t="s">
        <v>245</v>
      </c>
      <c r="D69" s="38" t="s">
        <v>77</v>
      </c>
      <c r="E69" s="28">
        <f>63700+500</f>
        <v>64200</v>
      </c>
      <c r="F69" s="41">
        <f t="shared" si="3"/>
        <v>63200</v>
      </c>
      <c r="G69" s="28">
        <v>38900</v>
      </c>
      <c r="H69" s="28">
        <v>1000</v>
      </c>
    </row>
    <row r="70" spans="1:8">
      <c r="A70" s="37" t="s">
        <v>221</v>
      </c>
      <c r="B70" s="36" t="s">
        <v>66</v>
      </c>
      <c r="C70" s="9" t="s">
        <v>59</v>
      </c>
      <c r="D70" s="38" t="s">
        <v>77</v>
      </c>
      <c r="E70" s="28">
        <f>72000+500+200</f>
        <v>72700</v>
      </c>
      <c r="F70" s="41">
        <f t="shared" si="3"/>
        <v>71900</v>
      </c>
      <c r="G70" s="28">
        <v>37100</v>
      </c>
      <c r="H70" s="28">
        <v>800</v>
      </c>
    </row>
    <row r="71" spans="1:8" ht="12.75" customHeight="1">
      <c r="A71" s="37" t="s">
        <v>222</v>
      </c>
      <c r="B71" s="169" t="s">
        <v>75</v>
      </c>
      <c r="C71" s="18" t="s">
        <v>18</v>
      </c>
      <c r="D71" s="38"/>
      <c r="E71" s="28">
        <f>SUM(E72:E78)</f>
        <v>239800</v>
      </c>
      <c r="F71" s="28">
        <f>SUM(F72:F78)</f>
        <v>239800</v>
      </c>
      <c r="G71" s="28">
        <f>SUM(G72:G78)</f>
        <v>0</v>
      </c>
      <c r="H71" s="28">
        <f>SUM(H72:H78)</f>
        <v>0</v>
      </c>
    </row>
    <row r="72" spans="1:8" ht="12.75" customHeight="1">
      <c r="A72" s="37" t="s">
        <v>223</v>
      </c>
      <c r="B72" s="170"/>
      <c r="C72" s="57" t="s">
        <v>301</v>
      </c>
      <c r="D72" s="53" t="s">
        <v>10</v>
      </c>
      <c r="E72" s="58">
        <f>10000-5000</f>
        <v>5000</v>
      </c>
      <c r="F72" s="99">
        <f t="shared" ref="F72:F78" si="4">E72-H72</f>
        <v>5000</v>
      </c>
      <c r="G72" s="58"/>
      <c r="H72" s="58"/>
    </row>
    <row r="73" spans="1:8" ht="51">
      <c r="A73" s="37" t="s">
        <v>224</v>
      </c>
      <c r="B73" s="170"/>
      <c r="C73" s="88" t="s">
        <v>302</v>
      </c>
      <c r="D73" s="83" t="s">
        <v>78</v>
      </c>
      <c r="E73" s="100">
        <f>160000-1000+5000</f>
        <v>164000</v>
      </c>
      <c r="F73" s="99">
        <f t="shared" si="4"/>
        <v>164000</v>
      </c>
      <c r="G73" s="100"/>
      <c r="H73" s="100"/>
    </row>
    <row r="74" spans="1:8">
      <c r="A74" s="37" t="s">
        <v>225</v>
      </c>
      <c r="B74" s="170"/>
      <c r="C74" s="131" t="s">
        <v>358</v>
      </c>
      <c r="D74" s="53" t="s">
        <v>77</v>
      </c>
      <c r="E74" s="58">
        <v>15000</v>
      </c>
      <c r="F74" s="99">
        <f t="shared" si="4"/>
        <v>15000</v>
      </c>
      <c r="G74" s="58"/>
      <c r="H74" s="58"/>
    </row>
    <row r="75" spans="1:8">
      <c r="A75" s="37" t="s">
        <v>226</v>
      </c>
      <c r="B75" s="170"/>
      <c r="C75" s="57" t="s">
        <v>129</v>
      </c>
      <c r="D75" s="53" t="s">
        <v>77</v>
      </c>
      <c r="E75" s="58">
        <v>16000</v>
      </c>
      <c r="F75" s="99">
        <f t="shared" si="4"/>
        <v>16000</v>
      </c>
      <c r="G75" s="58"/>
      <c r="H75" s="58"/>
    </row>
    <row r="76" spans="1:8" ht="12.75" customHeight="1">
      <c r="A76" s="37" t="s">
        <v>227</v>
      </c>
      <c r="B76" s="170"/>
      <c r="C76" s="57" t="s">
        <v>303</v>
      </c>
      <c r="D76" s="53" t="s">
        <v>77</v>
      </c>
      <c r="E76" s="58">
        <f>35000-5000-200</f>
        <v>29800</v>
      </c>
      <c r="F76" s="99">
        <f t="shared" si="4"/>
        <v>29800</v>
      </c>
      <c r="G76" s="58"/>
      <c r="H76" s="58"/>
    </row>
    <row r="77" spans="1:8" ht="12.75" customHeight="1">
      <c r="A77" s="37" t="s">
        <v>228</v>
      </c>
      <c r="B77" s="170"/>
      <c r="C77" s="57" t="s">
        <v>128</v>
      </c>
      <c r="D77" s="53" t="s">
        <v>77</v>
      </c>
      <c r="E77" s="58">
        <v>2000</v>
      </c>
      <c r="F77" s="99">
        <f t="shared" si="4"/>
        <v>2000</v>
      </c>
      <c r="G77" s="58"/>
      <c r="H77" s="58"/>
    </row>
    <row r="78" spans="1:8">
      <c r="A78" s="37" t="s">
        <v>229</v>
      </c>
      <c r="B78" s="170"/>
      <c r="C78" s="57" t="s">
        <v>304</v>
      </c>
      <c r="D78" s="53" t="s">
        <v>77</v>
      </c>
      <c r="E78" s="58">
        <v>8000</v>
      </c>
      <c r="F78" s="99">
        <f t="shared" si="4"/>
        <v>8000</v>
      </c>
      <c r="G78" s="58"/>
      <c r="H78" s="58"/>
    </row>
    <row r="79" spans="1:8" ht="38.25">
      <c r="A79" s="37" t="s">
        <v>230</v>
      </c>
      <c r="B79" s="62" t="s">
        <v>19</v>
      </c>
      <c r="C79" s="22" t="s">
        <v>20</v>
      </c>
      <c r="D79" s="45"/>
      <c r="E79" s="82">
        <f>SUM(E80+E88+E89+E90)</f>
        <v>2876100</v>
      </c>
      <c r="F79" s="82">
        <f>SUM(F80+F88+F89+F90)</f>
        <v>2563800</v>
      </c>
      <c r="G79" s="82">
        <f>SUM(G80+G88+G89+G90)</f>
        <v>1347500</v>
      </c>
      <c r="H79" s="82">
        <f>SUM(H80+H88+H89+H90)</f>
        <v>312300</v>
      </c>
    </row>
    <row r="80" spans="1:8" ht="12.75" customHeight="1">
      <c r="A80" s="37" t="s">
        <v>231</v>
      </c>
      <c r="B80" s="169" t="s">
        <v>26</v>
      </c>
      <c r="C80" s="9" t="s">
        <v>71</v>
      </c>
      <c r="D80" s="45"/>
      <c r="E80" s="28">
        <f>SUM(E81:E87)</f>
        <v>2447500</v>
      </c>
      <c r="F80" s="28">
        <f>SUM(F81:F87)</f>
        <v>2389900</v>
      </c>
      <c r="G80" s="28">
        <f>SUM(G81:G87)</f>
        <v>1296300</v>
      </c>
      <c r="H80" s="28">
        <f>SUM(H81:H87)</f>
        <v>57600</v>
      </c>
    </row>
    <row r="81" spans="1:12" ht="12.75" customHeight="1">
      <c r="A81" s="37" t="s">
        <v>232</v>
      </c>
      <c r="B81" s="170"/>
      <c r="C81" s="55" t="s">
        <v>270</v>
      </c>
      <c r="D81" s="59" t="s">
        <v>10</v>
      </c>
      <c r="E81" s="61">
        <v>273100</v>
      </c>
      <c r="F81" s="94">
        <f t="shared" ref="F81:F90" si="5">E81-H81</f>
        <v>260500</v>
      </c>
      <c r="G81" s="61">
        <v>107900</v>
      </c>
      <c r="H81" s="61">
        <v>12600</v>
      </c>
    </row>
    <row r="82" spans="1:12" ht="25.5">
      <c r="A82" s="37" t="s">
        <v>233</v>
      </c>
      <c r="B82" s="170"/>
      <c r="C82" s="55" t="s">
        <v>18</v>
      </c>
      <c r="D82" s="53" t="s">
        <v>10</v>
      </c>
      <c r="E82" s="84">
        <f>1957300-400</f>
        <v>1956900</v>
      </c>
      <c r="F82" s="99">
        <f t="shared" si="5"/>
        <v>1911900</v>
      </c>
      <c r="G82" s="84">
        <f>1188700-300</f>
        <v>1188400</v>
      </c>
      <c r="H82" s="84">
        <v>45000</v>
      </c>
    </row>
    <row r="83" spans="1:12" ht="25.5">
      <c r="A83" s="37" t="s">
        <v>234</v>
      </c>
      <c r="B83" s="170"/>
      <c r="C83" s="55" t="s">
        <v>137</v>
      </c>
      <c r="D83" s="53" t="s">
        <v>56</v>
      </c>
      <c r="E83" s="28">
        <v>3000</v>
      </c>
      <c r="F83" s="99">
        <f t="shared" si="5"/>
        <v>3000</v>
      </c>
      <c r="G83" s="28"/>
      <c r="H83" s="28"/>
    </row>
    <row r="84" spans="1:12">
      <c r="A84" s="37" t="s">
        <v>235</v>
      </c>
      <c r="B84" s="170"/>
      <c r="C84" s="9" t="s">
        <v>138</v>
      </c>
      <c r="D84" s="59" t="s">
        <v>10</v>
      </c>
      <c r="E84" s="28">
        <v>9500</v>
      </c>
      <c r="F84" s="99">
        <f t="shared" si="5"/>
        <v>9500</v>
      </c>
      <c r="G84" s="28"/>
      <c r="H84" s="28"/>
    </row>
    <row r="85" spans="1:12">
      <c r="A85" s="37" t="s">
        <v>236</v>
      </c>
      <c r="B85" s="170"/>
      <c r="C85" s="55" t="s">
        <v>355</v>
      </c>
      <c r="D85" s="59" t="s">
        <v>10</v>
      </c>
      <c r="E85" s="58">
        <f>10000-5000</f>
        <v>5000</v>
      </c>
      <c r="F85" s="99">
        <f t="shared" si="5"/>
        <v>5000</v>
      </c>
      <c r="G85" s="28"/>
      <c r="H85" s="28"/>
    </row>
    <row r="86" spans="1:12" ht="12.75" customHeight="1">
      <c r="A86" s="37" t="s">
        <v>237</v>
      </c>
      <c r="B86" s="170"/>
      <c r="C86" s="55" t="s">
        <v>305</v>
      </c>
      <c r="D86" s="53" t="s">
        <v>10</v>
      </c>
      <c r="E86" s="84">
        <v>20000</v>
      </c>
      <c r="F86" s="99">
        <f t="shared" si="5"/>
        <v>20000</v>
      </c>
      <c r="G86" s="61"/>
      <c r="H86" s="61"/>
    </row>
    <row r="87" spans="1:12">
      <c r="A87" s="37" t="s">
        <v>238</v>
      </c>
      <c r="B87" s="170"/>
      <c r="C87" s="55" t="s">
        <v>306</v>
      </c>
      <c r="D87" s="53" t="s">
        <v>10</v>
      </c>
      <c r="E87" s="84">
        <v>180000</v>
      </c>
      <c r="F87" s="99">
        <f t="shared" si="5"/>
        <v>180000</v>
      </c>
      <c r="G87" s="84"/>
      <c r="H87" s="84"/>
    </row>
    <row r="88" spans="1:12" ht="12.75" customHeight="1">
      <c r="A88" s="37" t="s">
        <v>239</v>
      </c>
      <c r="B88" s="40" t="s">
        <v>27</v>
      </c>
      <c r="C88" s="9" t="s">
        <v>246</v>
      </c>
      <c r="D88" s="38" t="s">
        <v>10</v>
      </c>
      <c r="E88" s="25">
        <v>63000</v>
      </c>
      <c r="F88" s="41">
        <f t="shared" si="5"/>
        <v>63000</v>
      </c>
      <c r="G88" s="28">
        <v>46600</v>
      </c>
      <c r="H88" s="84"/>
    </row>
    <row r="89" spans="1:12" ht="25.5" customHeight="1">
      <c r="A89" s="37" t="s">
        <v>240</v>
      </c>
      <c r="B89" s="36" t="s">
        <v>69</v>
      </c>
      <c r="C89" s="9" t="s">
        <v>247</v>
      </c>
      <c r="D89" s="38" t="s">
        <v>10</v>
      </c>
      <c r="E89" s="25">
        <v>325300</v>
      </c>
      <c r="F89" s="41">
        <f t="shared" si="5"/>
        <v>70600</v>
      </c>
      <c r="G89" s="29"/>
      <c r="H89" s="25">
        <v>254700</v>
      </c>
    </row>
    <row r="90" spans="1:12" ht="12.75" customHeight="1">
      <c r="A90" s="37" t="s">
        <v>254</v>
      </c>
      <c r="B90" s="36" t="s">
        <v>70</v>
      </c>
      <c r="C90" s="60" t="s">
        <v>21</v>
      </c>
      <c r="D90" s="38" t="s">
        <v>56</v>
      </c>
      <c r="E90" s="25">
        <v>40300</v>
      </c>
      <c r="F90" s="20">
        <f t="shared" si="5"/>
        <v>40300</v>
      </c>
      <c r="G90" s="28">
        <v>4600</v>
      </c>
      <c r="H90" s="25"/>
    </row>
    <row r="91" spans="1:12" ht="24.75" customHeight="1">
      <c r="A91" s="37" t="s">
        <v>241</v>
      </c>
      <c r="B91" s="31" t="s">
        <v>22</v>
      </c>
      <c r="C91" s="49" t="s">
        <v>115</v>
      </c>
      <c r="D91" s="30"/>
      <c r="E91" s="30">
        <f>SUM(E92)</f>
        <v>937600</v>
      </c>
      <c r="F91" s="30">
        <f>SUM(F92)</f>
        <v>937600</v>
      </c>
      <c r="G91" s="30">
        <f>SUM(G92)</f>
        <v>0</v>
      </c>
      <c r="H91" s="30">
        <f>SUM(H92)</f>
        <v>0</v>
      </c>
    </row>
    <row r="92" spans="1:12" ht="12.75" customHeight="1">
      <c r="A92" s="37" t="s">
        <v>255</v>
      </c>
      <c r="B92" s="169" t="s">
        <v>28</v>
      </c>
      <c r="C92" s="9" t="s">
        <v>71</v>
      </c>
      <c r="D92" s="45"/>
      <c r="E92" s="25">
        <f>SUM(E93:E96)</f>
        <v>937600</v>
      </c>
      <c r="F92" s="41">
        <f>E92-H92</f>
        <v>937600</v>
      </c>
      <c r="G92" s="25">
        <f>SUM(G93:G96)</f>
        <v>0</v>
      </c>
      <c r="H92" s="25">
        <f>SUM(H93:H96)</f>
        <v>0</v>
      </c>
    </row>
    <row r="93" spans="1:12" ht="12.75" customHeight="1">
      <c r="A93" s="37" t="s">
        <v>264</v>
      </c>
      <c r="B93" s="170"/>
      <c r="C93" s="55" t="s">
        <v>307</v>
      </c>
      <c r="D93" s="53" t="s">
        <v>22</v>
      </c>
      <c r="E93" s="84">
        <v>229900</v>
      </c>
      <c r="F93" s="99">
        <f>E93-H93</f>
        <v>229900</v>
      </c>
      <c r="G93" s="25"/>
      <c r="H93" s="25"/>
    </row>
    <row r="94" spans="1:12" ht="25.5">
      <c r="A94" s="37" t="s">
        <v>265</v>
      </c>
      <c r="B94" s="170"/>
      <c r="C94" s="55" t="s">
        <v>308</v>
      </c>
      <c r="D94" s="53" t="s">
        <v>22</v>
      </c>
      <c r="E94" s="84">
        <v>657700</v>
      </c>
      <c r="F94" s="99">
        <f>E94-H94</f>
        <v>657700</v>
      </c>
      <c r="G94" s="25"/>
      <c r="H94" s="29"/>
    </row>
    <row r="95" spans="1:12">
      <c r="A95" s="37" t="s">
        <v>266</v>
      </c>
      <c r="B95" s="170"/>
      <c r="C95" s="55" t="s">
        <v>309</v>
      </c>
      <c r="D95" s="53" t="s">
        <v>22</v>
      </c>
      <c r="E95" s="84">
        <f>20000+10000</f>
        <v>30000</v>
      </c>
      <c r="F95" s="99">
        <f>E95-H95</f>
        <v>30000</v>
      </c>
      <c r="G95" s="25"/>
      <c r="H95" s="26"/>
    </row>
    <row r="96" spans="1:12" ht="25.5">
      <c r="A96" s="37" t="s">
        <v>310</v>
      </c>
      <c r="B96" s="170"/>
      <c r="C96" s="55" t="s">
        <v>136</v>
      </c>
      <c r="D96" s="53" t="s">
        <v>22</v>
      </c>
      <c r="E96" s="84">
        <f>15000+5000</f>
        <v>20000</v>
      </c>
      <c r="F96" s="99">
        <f>E96-H96</f>
        <v>20000</v>
      </c>
      <c r="G96" s="25"/>
      <c r="H96" s="26"/>
      <c r="L96" s="47"/>
    </row>
    <row r="97" spans="1:8" ht="25.5">
      <c r="A97" s="37" t="s">
        <v>311</v>
      </c>
      <c r="B97" s="62" t="s">
        <v>78</v>
      </c>
      <c r="C97" s="22" t="s">
        <v>248</v>
      </c>
      <c r="D97" s="64"/>
      <c r="E97" s="63">
        <f>SUM(E98)</f>
        <v>1159300</v>
      </c>
      <c r="F97" s="63">
        <f>SUM(F98)</f>
        <v>958200</v>
      </c>
      <c r="G97" s="63">
        <f>SUM(G98)</f>
        <v>73200</v>
      </c>
      <c r="H97" s="63">
        <f>SUM(H98)</f>
        <v>201100</v>
      </c>
    </row>
    <row r="98" spans="1:8" ht="12.75" customHeight="1">
      <c r="A98" s="37" t="s">
        <v>312</v>
      </c>
      <c r="B98" s="169" t="s">
        <v>83</v>
      </c>
      <c r="C98" s="9" t="s">
        <v>71</v>
      </c>
      <c r="D98" s="65"/>
      <c r="E98" s="25">
        <f>SUM(E99:E106)</f>
        <v>1159300</v>
      </c>
      <c r="F98" s="25">
        <f>SUM(F99:F106)</f>
        <v>958200</v>
      </c>
      <c r="G98" s="25">
        <f>SUM(G99:G106)</f>
        <v>73200</v>
      </c>
      <c r="H98" s="25">
        <f>SUM(H99:H106)</f>
        <v>201100</v>
      </c>
    </row>
    <row r="99" spans="1:8">
      <c r="A99" s="37" t="s">
        <v>313</v>
      </c>
      <c r="B99" s="170"/>
      <c r="C99" s="55" t="s">
        <v>130</v>
      </c>
      <c r="D99" s="83" t="s">
        <v>10</v>
      </c>
      <c r="E99" s="125">
        <v>35700</v>
      </c>
      <c r="F99" s="99">
        <f t="shared" ref="F99:F108" si="6">E99-H99</f>
        <v>35700</v>
      </c>
      <c r="G99" s="84"/>
      <c r="H99" s="85"/>
    </row>
    <row r="100" spans="1:8">
      <c r="A100" s="37" t="s">
        <v>314</v>
      </c>
      <c r="B100" s="170"/>
      <c r="C100" s="55" t="s">
        <v>135</v>
      </c>
      <c r="D100" s="98" t="s">
        <v>10</v>
      </c>
      <c r="E100" s="126">
        <f>110000-5000</f>
        <v>105000</v>
      </c>
      <c r="F100" s="94">
        <f t="shared" si="6"/>
        <v>68900</v>
      </c>
      <c r="G100" s="61"/>
      <c r="H100" s="61">
        <v>36100</v>
      </c>
    </row>
    <row r="101" spans="1:8" ht="25.5">
      <c r="A101" s="37" t="s">
        <v>315</v>
      </c>
      <c r="B101" s="170"/>
      <c r="C101" s="55" t="s">
        <v>354</v>
      </c>
      <c r="D101" s="83" t="s">
        <v>10</v>
      </c>
      <c r="E101" s="125">
        <f>374000-32800</f>
        <v>341200</v>
      </c>
      <c r="F101" s="99">
        <f t="shared" si="6"/>
        <v>341200</v>
      </c>
      <c r="G101" s="61"/>
      <c r="H101" s="68"/>
    </row>
    <row r="102" spans="1:8">
      <c r="A102" s="37" t="s">
        <v>317</v>
      </c>
      <c r="B102" s="170"/>
      <c r="C102" s="55" t="s">
        <v>316</v>
      </c>
      <c r="D102" s="83" t="s">
        <v>78</v>
      </c>
      <c r="E102" s="58">
        <v>9000</v>
      </c>
      <c r="F102" s="99">
        <f t="shared" si="6"/>
        <v>9000</v>
      </c>
      <c r="G102" s="61"/>
      <c r="H102" s="68"/>
    </row>
    <row r="103" spans="1:8" ht="12.75" customHeight="1">
      <c r="A103" s="37" t="s">
        <v>318</v>
      </c>
      <c r="B103" s="170"/>
      <c r="C103" s="55" t="s">
        <v>131</v>
      </c>
      <c r="D103" s="83" t="s">
        <v>78</v>
      </c>
      <c r="E103" s="58">
        <v>55500</v>
      </c>
      <c r="F103" s="99">
        <f t="shared" si="6"/>
        <v>55500</v>
      </c>
      <c r="G103" s="61"/>
      <c r="H103" s="84"/>
    </row>
    <row r="104" spans="1:8" ht="12.75" customHeight="1">
      <c r="A104" s="37" t="s">
        <v>320</v>
      </c>
      <c r="B104" s="170"/>
      <c r="C104" s="55" t="s">
        <v>349</v>
      </c>
      <c r="D104" s="83" t="s">
        <v>19</v>
      </c>
      <c r="E104" s="58">
        <v>35000</v>
      </c>
      <c r="F104" s="99">
        <f t="shared" si="6"/>
        <v>0</v>
      </c>
      <c r="G104" s="61"/>
      <c r="H104" s="84">
        <v>35000</v>
      </c>
    </row>
    <row r="105" spans="1:8" ht="38.25" customHeight="1">
      <c r="A105" s="37" t="s">
        <v>321</v>
      </c>
      <c r="B105" s="170"/>
      <c r="C105" s="55" t="s">
        <v>348</v>
      </c>
      <c r="D105" s="83" t="s">
        <v>78</v>
      </c>
      <c r="E105" s="58">
        <v>16200</v>
      </c>
      <c r="F105" s="99">
        <f t="shared" si="6"/>
        <v>16200</v>
      </c>
      <c r="G105" s="61"/>
      <c r="H105" s="84"/>
    </row>
    <row r="106" spans="1:8" ht="25.5">
      <c r="A106" s="37" t="s">
        <v>322</v>
      </c>
      <c r="B106" s="170"/>
      <c r="C106" s="55" t="s">
        <v>319</v>
      </c>
      <c r="D106" s="83" t="s">
        <v>78</v>
      </c>
      <c r="E106" s="58">
        <f>566700-5000</f>
        <v>561700</v>
      </c>
      <c r="F106" s="99">
        <f t="shared" si="6"/>
        <v>431700</v>
      </c>
      <c r="G106" s="84">
        <v>73200</v>
      </c>
      <c r="H106" s="84">
        <v>130000</v>
      </c>
    </row>
    <row r="107" spans="1:8">
      <c r="A107" s="37" t="s">
        <v>323</v>
      </c>
      <c r="B107" s="62" t="s">
        <v>79</v>
      </c>
      <c r="C107" s="22" t="s">
        <v>81</v>
      </c>
      <c r="D107" s="64"/>
      <c r="E107" s="63">
        <f>SUM(E108)</f>
        <v>52300</v>
      </c>
      <c r="F107" s="63">
        <f>SUM(F108)</f>
        <v>2500</v>
      </c>
      <c r="G107" s="63">
        <f>SUM(G108)</f>
        <v>300</v>
      </c>
      <c r="H107" s="63">
        <f>SUM(H108)</f>
        <v>49800</v>
      </c>
    </row>
    <row r="108" spans="1:8">
      <c r="A108" s="37" t="s">
        <v>324</v>
      </c>
      <c r="B108" s="40" t="s">
        <v>82</v>
      </c>
      <c r="C108" s="9" t="s">
        <v>80</v>
      </c>
      <c r="D108" s="65" t="s">
        <v>10</v>
      </c>
      <c r="E108" s="21">
        <f>6200+400+45700</f>
        <v>52300</v>
      </c>
      <c r="F108" s="99">
        <f t="shared" si="6"/>
        <v>2500</v>
      </c>
      <c r="G108" s="127">
        <v>300</v>
      </c>
      <c r="H108" s="128">
        <f>5000+44800</f>
        <v>49800</v>
      </c>
    </row>
    <row r="109" spans="1:8">
      <c r="A109" s="7" t="s">
        <v>334</v>
      </c>
      <c r="B109" s="13"/>
      <c r="C109" s="107" t="s">
        <v>142</v>
      </c>
      <c r="D109" s="15"/>
      <c r="E109" s="27">
        <f>E107+E97+E91+E79+E63+E44+E15</f>
        <v>12616700</v>
      </c>
      <c r="F109" s="27">
        <f>F107+F97+F91+F79+F63+F44+F15</f>
        <v>12026900</v>
      </c>
      <c r="G109" s="27">
        <f>G107+G97+G79+G63+G44+G15</f>
        <v>4896600</v>
      </c>
      <c r="H109" s="27">
        <f>H107+H97+H91+H79+H63+H44+H15</f>
        <v>589800</v>
      </c>
    </row>
    <row r="110" spans="1:8">
      <c r="A110" s="69"/>
      <c r="B110" s="70"/>
      <c r="C110" s="71"/>
      <c r="D110" s="72"/>
      <c r="E110" s="73"/>
      <c r="F110" s="73"/>
      <c r="G110" s="73"/>
      <c r="H110" s="73"/>
    </row>
    <row r="111" spans="1:8">
      <c r="A111" s="146" t="s">
        <v>49</v>
      </c>
      <c r="B111" s="146"/>
      <c r="C111" s="146"/>
      <c r="D111" s="146"/>
      <c r="E111" s="146"/>
      <c r="F111" s="146"/>
      <c r="G111" s="146"/>
      <c r="H111" s="146"/>
    </row>
    <row r="114" spans="5:5">
      <c r="E114" t="s">
        <v>252</v>
      </c>
    </row>
  </sheetData>
  <mergeCells count="21">
    <mergeCell ref="B98:B106"/>
    <mergeCell ref="C10:C13"/>
    <mergeCell ref="E10:H10"/>
    <mergeCell ref="H12:H13"/>
    <mergeCell ref="D10:D13"/>
    <mergeCell ref="B92:B96"/>
    <mergeCell ref="E11:E13"/>
    <mergeCell ref="A10:A13"/>
    <mergeCell ref="F12:G12"/>
    <mergeCell ref="B10:B13"/>
    <mergeCell ref="F11:H11"/>
    <mergeCell ref="F1:H1"/>
    <mergeCell ref="F2:H2"/>
    <mergeCell ref="F3:H3"/>
    <mergeCell ref="F4:H4"/>
    <mergeCell ref="A5:H7"/>
    <mergeCell ref="A111:H111"/>
    <mergeCell ref="B37:B43"/>
    <mergeCell ref="B49:B62"/>
    <mergeCell ref="B71:B78"/>
    <mergeCell ref="B80:B87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81"/>
  <sheetViews>
    <sheetView zoomScale="135" zoomScaleNormal="135" workbookViewId="0">
      <selection activeCell="D3" sqref="D3:F3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10" ht="14.1" customHeight="1">
      <c r="A1" s="3"/>
      <c r="B1" s="3"/>
      <c r="C1" s="35"/>
      <c r="D1" s="157" t="s">
        <v>7</v>
      </c>
      <c r="E1" s="157"/>
      <c r="F1" s="157"/>
    </row>
    <row r="2" spans="1:10" ht="14.1" customHeight="1">
      <c r="A2" s="3"/>
      <c r="B2" s="3"/>
      <c r="C2" s="35"/>
      <c r="D2" s="157" t="s">
        <v>361</v>
      </c>
      <c r="E2" s="157"/>
      <c r="F2" s="157"/>
    </row>
    <row r="3" spans="1:10" ht="14.1" customHeight="1">
      <c r="A3" s="1"/>
      <c r="B3" s="3"/>
      <c r="C3" s="35"/>
      <c r="D3" s="157" t="s">
        <v>368</v>
      </c>
      <c r="E3" s="157"/>
      <c r="F3" s="157"/>
    </row>
    <row r="4" spans="1:10" ht="14.1" customHeight="1">
      <c r="A4" s="1"/>
      <c r="B4" s="16"/>
      <c r="C4" s="16"/>
      <c r="D4" s="164" t="s">
        <v>143</v>
      </c>
      <c r="E4" s="164"/>
      <c r="F4" s="164"/>
    </row>
    <row r="5" spans="1:10" ht="12.75" customHeight="1">
      <c r="A5" s="165" t="s">
        <v>350</v>
      </c>
      <c r="B5" s="165"/>
      <c r="C5" s="165"/>
      <c r="D5" s="165"/>
      <c r="E5" s="165"/>
      <c r="F5" s="165"/>
      <c r="G5" s="33"/>
    </row>
    <row r="6" spans="1:10" ht="12.75" customHeight="1">
      <c r="A6" s="165"/>
      <c r="B6" s="165"/>
      <c r="C6" s="165"/>
      <c r="D6" s="165"/>
      <c r="E6" s="165"/>
      <c r="F6" s="165"/>
      <c r="G6" s="33"/>
    </row>
    <row r="7" spans="1:10" ht="12.75" customHeight="1">
      <c r="A7" s="165"/>
      <c r="B7" s="165"/>
      <c r="C7" s="165"/>
      <c r="D7" s="165"/>
      <c r="E7" s="165"/>
      <c r="F7" s="165"/>
      <c r="G7" s="33"/>
    </row>
    <row r="8" spans="1:10">
      <c r="A8" s="1"/>
      <c r="B8" s="3"/>
      <c r="C8" s="173" t="s">
        <v>281</v>
      </c>
      <c r="D8" s="173"/>
      <c r="E8" s="173"/>
      <c r="F8" s="173"/>
    </row>
    <row r="9" spans="1:10" ht="12.75" customHeight="1">
      <c r="A9" s="147" t="s">
        <v>0</v>
      </c>
      <c r="B9" s="147" t="s">
        <v>121</v>
      </c>
      <c r="C9" s="175" t="s">
        <v>134</v>
      </c>
      <c r="D9" s="159"/>
      <c r="E9" s="159"/>
      <c r="F9" s="160"/>
    </row>
    <row r="10" spans="1:10">
      <c r="A10" s="148"/>
      <c r="B10" s="174"/>
      <c r="C10" s="147" t="s">
        <v>3</v>
      </c>
      <c r="D10" s="161" t="s">
        <v>4</v>
      </c>
      <c r="E10" s="161"/>
      <c r="F10" s="162"/>
    </row>
    <row r="11" spans="1:10" ht="12.75" customHeight="1">
      <c r="A11" s="148"/>
      <c r="B11" s="174"/>
      <c r="C11" s="148"/>
      <c r="D11" s="163" t="s">
        <v>132</v>
      </c>
      <c r="E11" s="163"/>
      <c r="F11" s="147" t="s">
        <v>51</v>
      </c>
    </row>
    <row r="12" spans="1:10" ht="25.5" customHeight="1">
      <c r="A12" s="148"/>
      <c r="B12" s="174"/>
      <c r="C12" s="149"/>
      <c r="D12" s="91" t="s">
        <v>133</v>
      </c>
      <c r="E12" s="93" t="s">
        <v>8</v>
      </c>
      <c r="F12" s="149"/>
    </row>
    <row r="13" spans="1:10">
      <c r="A13" s="5">
        <v>1</v>
      </c>
      <c r="B13" s="92">
        <v>3</v>
      </c>
      <c r="C13" s="93">
        <v>4</v>
      </c>
      <c r="D13" s="93">
        <v>5</v>
      </c>
      <c r="E13" s="93">
        <v>6</v>
      </c>
      <c r="F13" s="93">
        <v>7</v>
      </c>
    </row>
    <row r="14" spans="1:10">
      <c r="A14" s="103" t="s">
        <v>87</v>
      </c>
      <c r="B14" s="17" t="s">
        <v>12</v>
      </c>
      <c r="C14" s="129">
        <f>973900+2000+18100</f>
        <v>994000</v>
      </c>
      <c r="D14" s="19">
        <f>C14-F14</f>
        <v>992000</v>
      </c>
      <c r="E14" s="19">
        <f>604400+13700</f>
        <v>618100</v>
      </c>
      <c r="F14" s="19">
        <v>2000</v>
      </c>
    </row>
    <row r="15" spans="1:10">
      <c r="A15" s="103" t="s">
        <v>88</v>
      </c>
      <c r="B15" s="17" t="s">
        <v>257</v>
      </c>
      <c r="C15" s="129">
        <f>690900+12100</f>
        <v>703000</v>
      </c>
      <c r="D15" s="19">
        <f t="shared" ref="D15:D48" si="0">C15-F15</f>
        <v>703000</v>
      </c>
      <c r="E15" s="19">
        <f>415700+9200</f>
        <v>424900</v>
      </c>
      <c r="F15" s="19"/>
      <c r="J15" s="47"/>
    </row>
    <row r="16" spans="1:10" ht="12.75" customHeight="1">
      <c r="A16" s="104" t="s">
        <v>89</v>
      </c>
      <c r="B16" s="17" t="s">
        <v>277</v>
      </c>
      <c r="C16" s="130">
        <f>662100+9800</f>
        <v>671900</v>
      </c>
      <c r="D16" s="19">
        <f t="shared" si="0"/>
        <v>671000</v>
      </c>
      <c r="E16" s="81">
        <f>410400+7500</f>
        <v>417900</v>
      </c>
      <c r="F16" s="81">
        <v>900</v>
      </c>
    </row>
    <row r="17" spans="1:6" ht="12.75" customHeight="1">
      <c r="A17" s="104" t="s">
        <v>90</v>
      </c>
      <c r="B17" s="17" t="s">
        <v>258</v>
      </c>
      <c r="C17" s="130">
        <f>741200+13600</f>
        <v>754800</v>
      </c>
      <c r="D17" s="19">
        <f>C17-F17</f>
        <v>754800</v>
      </c>
      <c r="E17" s="81">
        <f>467600+10400</f>
        <v>478000</v>
      </c>
      <c r="F17" s="81"/>
    </row>
    <row r="18" spans="1:6" ht="12.75" customHeight="1">
      <c r="A18" s="104" t="s">
        <v>91</v>
      </c>
      <c r="B18" s="17" t="s">
        <v>278</v>
      </c>
      <c r="C18" s="81">
        <f>1012300+19700</f>
        <v>1032000</v>
      </c>
      <c r="D18" s="19">
        <f t="shared" si="0"/>
        <v>1030000</v>
      </c>
      <c r="E18" s="81">
        <f>670300+15000</f>
        <v>685300</v>
      </c>
      <c r="F18" s="81">
        <v>2000</v>
      </c>
    </row>
    <row r="19" spans="1:6" ht="12.75" customHeight="1">
      <c r="A19" s="104" t="s">
        <v>92</v>
      </c>
      <c r="B19" s="17" t="s">
        <v>279</v>
      </c>
      <c r="C19" s="130">
        <f>917400+14800</f>
        <v>932200</v>
      </c>
      <c r="D19" s="19">
        <f t="shared" si="0"/>
        <v>931100</v>
      </c>
      <c r="E19" s="81">
        <f>566700+11300</f>
        <v>578000</v>
      </c>
      <c r="F19" s="81">
        <v>1100</v>
      </c>
    </row>
    <row r="20" spans="1:6" ht="12.75" customHeight="1">
      <c r="A20" s="104" t="s">
        <v>93</v>
      </c>
      <c r="B20" s="17" t="s">
        <v>269</v>
      </c>
      <c r="C20" s="130">
        <f>495300+7400</f>
        <v>502700</v>
      </c>
      <c r="D20" s="19">
        <f t="shared" si="0"/>
        <v>502700</v>
      </c>
      <c r="E20" s="81">
        <f>310600+5700</f>
        <v>316300</v>
      </c>
      <c r="F20" s="81"/>
    </row>
    <row r="21" spans="1:6" ht="12.75" customHeight="1">
      <c r="A21" s="104" t="s">
        <v>94</v>
      </c>
      <c r="B21" s="17" t="s">
        <v>13</v>
      </c>
      <c r="C21" s="130">
        <f>433800+6500</f>
        <v>440300</v>
      </c>
      <c r="D21" s="19">
        <f t="shared" si="0"/>
        <v>440300</v>
      </c>
      <c r="E21" s="81">
        <f>276200+5000</f>
        <v>281200</v>
      </c>
      <c r="F21" s="81"/>
    </row>
    <row r="22" spans="1:6" ht="12.75" customHeight="1">
      <c r="A22" s="104" t="s">
        <v>95</v>
      </c>
      <c r="B22" s="17" t="s">
        <v>259</v>
      </c>
      <c r="C22" s="130">
        <f>230500+3500</f>
        <v>234000</v>
      </c>
      <c r="D22" s="19">
        <f t="shared" si="0"/>
        <v>234000</v>
      </c>
      <c r="E22" s="81">
        <f>141600+2700</f>
        <v>144300</v>
      </c>
      <c r="F22" s="81"/>
    </row>
    <row r="23" spans="1:6" ht="12.75" customHeight="1">
      <c r="A23" s="104" t="s">
        <v>96</v>
      </c>
      <c r="B23" s="17" t="s">
        <v>260</v>
      </c>
      <c r="C23" s="130">
        <f>375200+6000</f>
        <v>381200</v>
      </c>
      <c r="D23" s="19">
        <f t="shared" si="0"/>
        <v>380000</v>
      </c>
      <c r="E23" s="81">
        <f>234100+4600</f>
        <v>238700</v>
      </c>
      <c r="F23" s="81">
        <v>1200</v>
      </c>
    </row>
    <row r="24" spans="1:6" ht="12.75" customHeight="1">
      <c r="A24" s="104" t="s">
        <v>97</v>
      </c>
      <c r="B24" s="17" t="s">
        <v>261</v>
      </c>
      <c r="C24" s="130">
        <f>376000+6200</f>
        <v>382200</v>
      </c>
      <c r="D24" s="19">
        <f t="shared" si="0"/>
        <v>382200</v>
      </c>
      <c r="E24" s="81">
        <f>237200+4700</f>
        <v>241900</v>
      </c>
      <c r="F24" s="81"/>
    </row>
    <row r="25" spans="1:6" ht="12.75" customHeight="1">
      <c r="A25" s="104" t="s">
        <v>98</v>
      </c>
      <c r="B25" s="17" t="s">
        <v>280</v>
      </c>
      <c r="C25" s="81">
        <f>312100+5100</f>
        <v>317200</v>
      </c>
      <c r="D25" s="19">
        <f t="shared" si="0"/>
        <v>317200</v>
      </c>
      <c r="E25" s="81">
        <f>201800+3900</f>
        <v>205700</v>
      </c>
      <c r="F25" s="81"/>
    </row>
    <row r="26" spans="1:6" ht="12.75" customHeight="1">
      <c r="A26" s="104" t="s">
        <v>99</v>
      </c>
      <c r="B26" s="17" t="s">
        <v>14</v>
      </c>
      <c r="C26" s="129">
        <f>364300+2900</f>
        <v>367200</v>
      </c>
      <c r="D26" s="19">
        <f t="shared" si="0"/>
        <v>366400</v>
      </c>
      <c r="E26" s="19">
        <f>207500+2200</f>
        <v>209700</v>
      </c>
      <c r="F26" s="19">
        <v>800</v>
      </c>
    </row>
    <row r="27" spans="1:6" ht="12.75" customHeight="1">
      <c r="A27" s="104" t="s">
        <v>100</v>
      </c>
      <c r="B27" s="17" t="s">
        <v>15</v>
      </c>
      <c r="C27" s="129">
        <f>534200+4300</f>
        <v>538500</v>
      </c>
      <c r="D27" s="19">
        <f t="shared" si="0"/>
        <v>538500</v>
      </c>
      <c r="E27" s="19">
        <f>322900+3300</f>
        <v>326200</v>
      </c>
      <c r="F27" s="19"/>
    </row>
    <row r="28" spans="1:6" ht="12.75" customHeight="1">
      <c r="A28" s="104" t="s">
        <v>101</v>
      </c>
      <c r="B28" s="17" t="s">
        <v>127</v>
      </c>
      <c r="C28" s="129">
        <f>276200+2200</f>
        <v>278400</v>
      </c>
      <c r="D28" s="19">
        <f t="shared" si="0"/>
        <v>278400</v>
      </c>
      <c r="E28" s="19">
        <f>162900+1700</f>
        <v>164600</v>
      </c>
      <c r="F28" s="19"/>
    </row>
    <row r="29" spans="1:6">
      <c r="A29" s="104" t="s">
        <v>102</v>
      </c>
      <c r="B29" s="17" t="s">
        <v>262</v>
      </c>
      <c r="C29" s="130">
        <f>154600+1200</f>
        <v>155800</v>
      </c>
      <c r="D29" s="19">
        <f t="shared" si="0"/>
        <v>155800</v>
      </c>
      <c r="E29" s="81">
        <v>114200</v>
      </c>
      <c r="F29" s="81"/>
    </row>
    <row r="30" spans="1:6">
      <c r="A30" s="104" t="s">
        <v>103</v>
      </c>
      <c r="B30" s="17" t="s">
        <v>53</v>
      </c>
      <c r="C30" s="129">
        <v>378300</v>
      </c>
      <c r="D30" s="19">
        <f t="shared" si="0"/>
        <v>373800</v>
      </c>
      <c r="E30" s="19">
        <v>274000</v>
      </c>
      <c r="F30" s="19">
        <v>4500</v>
      </c>
    </row>
    <row r="31" spans="1:6">
      <c r="A31" s="104" t="s">
        <v>104</v>
      </c>
      <c r="B31" s="17" t="s">
        <v>256</v>
      </c>
      <c r="C31" s="130">
        <f>160500+2100</f>
        <v>162600</v>
      </c>
      <c r="D31" s="19">
        <f t="shared" si="0"/>
        <v>161100</v>
      </c>
      <c r="E31" s="81">
        <v>109500</v>
      </c>
      <c r="F31" s="81">
        <v>1500</v>
      </c>
    </row>
    <row r="32" spans="1:6" ht="12.75" customHeight="1">
      <c r="A32" s="104" t="s">
        <v>105</v>
      </c>
      <c r="B32" s="17" t="s">
        <v>68</v>
      </c>
      <c r="C32" s="130">
        <v>285100</v>
      </c>
      <c r="D32" s="19">
        <f t="shared" si="0"/>
        <v>285100</v>
      </c>
      <c r="E32" s="81">
        <v>160500</v>
      </c>
      <c r="F32" s="81"/>
    </row>
    <row r="33" spans="1:11">
      <c r="A33" s="104" t="s">
        <v>106</v>
      </c>
      <c r="B33" s="17" t="s">
        <v>286</v>
      </c>
      <c r="C33" s="81">
        <v>87900</v>
      </c>
      <c r="D33" s="19">
        <f t="shared" si="0"/>
        <v>87900</v>
      </c>
      <c r="E33" s="81">
        <v>64300</v>
      </c>
      <c r="F33" s="81"/>
    </row>
    <row r="34" spans="1:11">
      <c r="A34" s="104" t="s">
        <v>107</v>
      </c>
      <c r="B34" s="17" t="s">
        <v>54</v>
      </c>
      <c r="C34" s="19">
        <f>81000+1000</f>
        <v>82000</v>
      </c>
      <c r="D34" s="19">
        <f t="shared" si="0"/>
        <v>82000</v>
      </c>
      <c r="E34" s="19">
        <v>45800</v>
      </c>
      <c r="F34" s="19"/>
    </row>
    <row r="35" spans="1:11" ht="12.75" customHeight="1">
      <c r="A35" s="104" t="s">
        <v>108</v>
      </c>
      <c r="B35" s="22" t="s">
        <v>57</v>
      </c>
      <c r="C35" s="95">
        <v>144100</v>
      </c>
      <c r="D35" s="19">
        <f t="shared" si="0"/>
        <v>142000</v>
      </c>
      <c r="E35" s="27">
        <v>94600</v>
      </c>
      <c r="F35" s="27">
        <v>2100</v>
      </c>
    </row>
    <row r="36" spans="1:11">
      <c r="A36" s="104" t="s">
        <v>109</v>
      </c>
      <c r="B36" s="22" t="s">
        <v>251</v>
      </c>
      <c r="C36" s="95">
        <v>507900</v>
      </c>
      <c r="D36" s="19">
        <f t="shared" si="0"/>
        <v>507900</v>
      </c>
      <c r="E36" s="27">
        <v>330000</v>
      </c>
      <c r="F36" s="27"/>
    </row>
    <row r="37" spans="1:11" ht="12.75" customHeight="1">
      <c r="A37" s="104" t="s">
        <v>110</v>
      </c>
      <c r="B37" s="22" t="s">
        <v>76</v>
      </c>
      <c r="C37" s="97">
        <v>348200</v>
      </c>
      <c r="D37" s="19">
        <f t="shared" si="0"/>
        <v>343000</v>
      </c>
      <c r="E37" s="82">
        <v>193000</v>
      </c>
      <c r="F37" s="82">
        <v>5200</v>
      </c>
    </row>
    <row r="38" spans="1:11" ht="12" customHeight="1">
      <c r="A38" s="104" t="s">
        <v>111</v>
      </c>
      <c r="B38" s="22" t="s">
        <v>141</v>
      </c>
      <c r="C38" s="97">
        <f>57700+500</f>
        <v>58200</v>
      </c>
      <c r="D38" s="19">
        <f t="shared" si="0"/>
        <v>58200</v>
      </c>
      <c r="E38" s="82">
        <v>39700</v>
      </c>
      <c r="F38" s="82"/>
    </row>
    <row r="39" spans="1:11" ht="12.75" customHeight="1">
      <c r="A39" s="104" t="s">
        <v>112</v>
      </c>
      <c r="B39" s="22" t="s">
        <v>58</v>
      </c>
      <c r="C39" s="97">
        <f>61300+500</f>
        <v>61800</v>
      </c>
      <c r="D39" s="19">
        <f t="shared" si="0"/>
        <v>58300</v>
      </c>
      <c r="E39" s="82">
        <v>37900</v>
      </c>
      <c r="F39" s="82">
        <v>3500</v>
      </c>
    </row>
    <row r="40" spans="1:11">
      <c r="A40" s="104" t="s">
        <v>113</v>
      </c>
      <c r="B40" s="22" t="s">
        <v>245</v>
      </c>
      <c r="C40" s="97">
        <f>63700+500</f>
        <v>64200</v>
      </c>
      <c r="D40" s="19">
        <f t="shared" si="0"/>
        <v>63200</v>
      </c>
      <c r="E40" s="82">
        <v>38900</v>
      </c>
      <c r="F40" s="82">
        <v>1000</v>
      </c>
    </row>
    <row r="41" spans="1:11">
      <c r="A41" s="104" t="s">
        <v>193</v>
      </c>
      <c r="B41" s="22" t="s">
        <v>59</v>
      </c>
      <c r="C41" s="97">
        <f>72200+500+200</f>
        <v>72900</v>
      </c>
      <c r="D41" s="19">
        <f>C41-F41</f>
        <v>72100</v>
      </c>
      <c r="E41" s="82">
        <v>37100</v>
      </c>
      <c r="F41" s="82">
        <v>800</v>
      </c>
    </row>
    <row r="42" spans="1:11">
      <c r="A42" s="104" t="s">
        <v>194</v>
      </c>
      <c r="B42" s="49" t="s">
        <v>244</v>
      </c>
      <c r="C42" s="97">
        <v>128600</v>
      </c>
      <c r="D42" s="19">
        <f t="shared" si="0"/>
        <v>128600</v>
      </c>
      <c r="E42" s="97">
        <v>76800</v>
      </c>
      <c r="F42" s="97"/>
      <c r="K42" s="118"/>
    </row>
    <row r="43" spans="1:11" ht="12.75" customHeight="1">
      <c r="A43" s="104" t="s">
        <v>195</v>
      </c>
      <c r="B43" s="49" t="s">
        <v>246</v>
      </c>
      <c r="C43" s="97">
        <v>64900</v>
      </c>
      <c r="D43" s="19">
        <f t="shared" si="0"/>
        <v>64900</v>
      </c>
      <c r="E43" s="97">
        <v>48000</v>
      </c>
      <c r="F43" s="97"/>
    </row>
    <row r="44" spans="1:11" ht="12.75" customHeight="1">
      <c r="A44" s="104" t="s">
        <v>196</v>
      </c>
      <c r="B44" s="49" t="s">
        <v>250</v>
      </c>
      <c r="C44" s="97">
        <v>484400</v>
      </c>
      <c r="D44" s="19">
        <f t="shared" si="0"/>
        <v>484400</v>
      </c>
      <c r="E44" s="97">
        <v>314900</v>
      </c>
      <c r="F44" s="97"/>
    </row>
    <row r="45" spans="1:11" ht="12.75" customHeight="1">
      <c r="A45" s="104" t="s">
        <v>197</v>
      </c>
      <c r="B45" s="49" t="s">
        <v>247</v>
      </c>
      <c r="C45" s="97">
        <v>325300</v>
      </c>
      <c r="D45" s="19">
        <f t="shared" si="0"/>
        <v>70600</v>
      </c>
      <c r="E45" s="97"/>
      <c r="F45" s="97">
        <v>254700</v>
      </c>
    </row>
    <row r="46" spans="1:11" ht="12.75" customHeight="1">
      <c r="A46" s="104" t="s">
        <v>198</v>
      </c>
      <c r="B46" s="49" t="s">
        <v>126</v>
      </c>
      <c r="C46" s="97">
        <v>549900</v>
      </c>
      <c r="D46" s="19">
        <f t="shared" si="0"/>
        <v>549900</v>
      </c>
      <c r="E46" s="97">
        <v>381000</v>
      </c>
      <c r="F46" s="97"/>
    </row>
    <row r="47" spans="1:11" ht="12.75" customHeight="1">
      <c r="A47" s="104" t="s">
        <v>199</v>
      </c>
      <c r="B47" s="49" t="s">
        <v>84</v>
      </c>
      <c r="C47" s="97">
        <v>331300</v>
      </c>
      <c r="D47" s="19">
        <f t="shared" si="0"/>
        <v>331300</v>
      </c>
      <c r="E47" s="97">
        <v>232200</v>
      </c>
      <c r="F47" s="97"/>
    </row>
    <row r="48" spans="1:11" ht="12.75" customHeight="1">
      <c r="A48" s="104" t="s">
        <v>200</v>
      </c>
      <c r="B48" s="49" t="s">
        <v>85</v>
      </c>
      <c r="C48" s="97">
        <f>1225600+18800</f>
        <v>1244400</v>
      </c>
      <c r="D48" s="19">
        <f t="shared" si="0"/>
        <v>1234400</v>
      </c>
      <c r="E48" s="97">
        <v>651800</v>
      </c>
      <c r="F48" s="97">
        <v>10000</v>
      </c>
    </row>
    <row r="49" spans="1:6" ht="12.75" customHeight="1">
      <c r="A49" s="105" t="s">
        <v>201</v>
      </c>
      <c r="B49" s="49" t="s">
        <v>71</v>
      </c>
      <c r="C49" s="97">
        <f>SUM(C50:C98)</f>
        <v>8247500</v>
      </c>
      <c r="D49" s="97">
        <f>SUM(D50:D98)</f>
        <v>7288000</v>
      </c>
      <c r="E49" s="97">
        <f>SUM(E50:E98)</f>
        <v>1641100</v>
      </c>
      <c r="F49" s="97">
        <f>SUM(F50:F98)</f>
        <v>959500</v>
      </c>
    </row>
    <row r="50" spans="1:6" ht="12.75" customHeight="1">
      <c r="A50" s="39" t="s">
        <v>202</v>
      </c>
      <c r="B50" s="88" t="s">
        <v>122</v>
      </c>
      <c r="C50" s="89">
        <v>273100</v>
      </c>
      <c r="D50" s="106">
        <f t="shared" ref="D50:D98" si="1">C50-F50</f>
        <v>260500</v>
      </c>
      <c r="E50" s="89">
        <v>107900</v>
      </c>
      <c r="F50" s="89">
        <v>12600</v>
      </c>
    </row>
    <row r="51" spans="1:6" ht="12.75" customHeight="1">
      <c r="A51" s="37" t="s">
        <v>203</v>
      </c>
      <c r="B51" s="88" t="s">
        <v>123</v>
      </c>
      <c r="C51" s="89">
        <f>1971400-400</f>
        <v>1971000</v>
      </c>
      <c r="D51" s="94">
        <f t="shared" si="1"/>
        <v>1926000</v>
      </c>
      <c r="E51" s="89">
        <f>1200000-300</f>
        <v>1199700</v>
      </c>
      <c r="F51" s="89">
        <v>45000</v>
      </c>
    </row>
    <row r="52" spans="1:6" ht="12.75" customHeight="1">
      <c r="A52" s="37" t="s">
        <v>204</v>
      </c>
      <c r="B52" s="88" t="s">
        <v>268</v>
      </c>
      <c r="C52" s="89">
        <v>816000</v>
      </c>
      <c r="D52" s="94">
        <f t="shared" si="1"/>
        <v>816000</v>
      </c>
      <c r="E52" s="89">
        <v>260000</v>
      </c>
      <c r="F52" s="89"/>
    </row>
    <row r="53" spans="1:6" ht="12.75" customHeight="1">
      <c r="A53" s="37" t="s">
        <v>205</v>
      </c>
      <c r="B53" s="88" t="s">
        <v>287</v>
      </c>
      <c r="C53" s="89">
        <v>280800</v>
      </c>
      <c r="D53" s="99">
        <f t="shared" si="1"/>
        <v>280800</v>
      </c>
      <c r="E53" s="89"/>
      <c r="F53" s="89"/>
    </row>
    <row r="54" spans="1:6" ht="12.75" customHeight="1">
      <c r="A54" s="37" t="s">
        <v>206</v>
      </c>
      <c r="B54" s="55" t="s">
        <v>284</v>
      </c>
      <c r="C54" s="89">
        <f>67900-3300</f>
        <v>64600</v>
      </c>
      <c r="D54" s="99">
        <f t="shared" si="1"/>
        <v>64600</v>
      </c>
      <c r="E54" s="89"/>
      <c r="F54" s="89"/>
    </row>
    <row r="55" spans="1:6" ht="12.75" customHeight="1">
      <c r="A55" s="37" t="s">
        <v>207</v>
      </c>
      <c r="B55" s="55" t="s">
        <v>288</v>
      </c>
      <c r="C55" s="89">
        <f>6000-2000</f>
        <v>4000</v>
      </c>
      <c r="D55" s="99">
        <f t="shared" si="1"/>
        <v>4000</v>
      </c>
      <c r="E55" s="89"/>
      <c r="F55" s="89"/>
    </row>
    <row r="56" spans="1:6" ht="12.75" customHeight="1">
      <c r="A56" s="37" t="s">
        <v>208</v>
      </c>
      <c r="B56" s="55" t="s">
        <v>291</v>
      </c>
      <c r="C56" s="89">
        <v>800</v>
      </c>
      <c r="D56" s="99">
        <f t="shared" si="1"/>
        <v>800</v>
      </c>
      <c r="E56" s="89"/>
      <c r="F56" s="89"/>
    </row>
    <row r="57" spans="1:6" ht="12.75" customHeight="1">
      <c r="A57" s="37" t="s">
        <v>209</v>
      </c>
      <c r="B57" s="88" t="s">
        <v>345</v>
      </c>
      <c r="C57" s="89">
        <v>13600</v>
      </c>
      <c r="D57" s="99">
        <f t="shared" si="1"/>
        <v>13600</v>
      </c>
      <c r="E57" s="89"/>
      <c r="F57" s="89"/>
    </row>
    <row r="58" spans="1:6" ht="12.75" customHeight="1">
      <c r="A58" s="37" t="s">
        <v>210</v>
      </c>
      <c r="B58" s="88" t="s">
        <v>325</v>
      </c>
      <c r="C58" s="89">
        <f>4000-200</f>
        <v>3800</v>
      </c>
      <c r="D58" s="99">
        <f t="shared" si="1"/>
        <v>3800</v>
      </c>
      <c r="E58" s="89"/>
      <c r="F58" s="89"/>
    </row>
    <row r="59" spans="1:6" ht="12.75" customHeight="1">
      <c r="A59" s="37" t="s">
        <v>211</v>
      </c>
      <c r="B59" s="88" t="s">
        <v>290</v>
      </c>
      <c r="C59" s="89">
        <v>3000</v>
      </c>
      <c r="D59" s="99">
        <f t="shared" si="1"/>
        <v>3000</v>
      </c>
      <c r="E59" s="89"/>
      <c r="F59" s="89"/>
    </row>
    <row r="60" spans="1:6" ht="25.5" customHeight="1">
      <c r="A60" s="37" t="s">
        <v>212</v>
      </c>
      <c r="B60" s="88" t="s">
        <v>326</v>
      </c>
      <c r="C60" s="89">
        <v>8000</v>
      </c>
      <c r="D60" s="99">
        <f t="shared" si="1"/>
        <v>8000</v>
      </c>
      <c r="E60" s="89"/>
      <c r="F60" s="89"/>
    </row>
    <row r="61" spans="1:6" ht="26.25" customHeight="1">
      <c r="A61" s="37" t="s">
        <v>213</v>
      </c>
      <c r="B61" s="88" t="s">
        <v>327</v>
      </c>
      <c r="C61" s="89">
        <v>20000</v>
      </c>
      <c r="D61" s="99">
        <f t="shared" si="1"/>
        <v>20000</v>
      </c>
      <c r="E61" s="89"/>
      <c r="F61" s="89"/>
    </row>
    <row r="62" spans="1:6" ht="12.75" customHeight="1">
      <c r="A62" s="37" t="s">
        <v>214</v>
      </c>
      <c r="B62" s="88" t="s">
        <v>293</v>
      </c>
      <c r="C62" s="89">
        <f>8000+2000</f>
        <v>10000</v>
      </c>
      <c r="D62" s="99">
        <f t="shared" si="1"/>
        <v>10000</v>
      </c>
      <c r="E62" s="89"/>
      <c r="F62" s="89"/>
    </row>
    <row r="63" spans="1:6" ht="12.75" customHeight="1">
      <c r="A63" s="37" t="s">
        <v>215</v>
      </c>
      <c r="B63" s="88" t="s">
        <v>328</v>
      </c>
      <c r="C63" s="89">
        <v>1500</v>
      </c>
      <c r="D63" s="99">
        <f t="shared" si="1"/>
        <v>1500</v>
      </c>
      <c r="E63" s="89"/>
      <c r="F63" s="89"/>
    </row>
    <row r="64" spans="1:6" ht="12.75" customHeight="1">
      <c r="A64" s="37" t="s">
        <v>216</v>
      </c>
      <c r="B64" s="88" t="s">
        <v>294</v>
      </c>
      <c r="C64" s="89">
        <v>20000</v>
      </c>
      <c r="D64" s="99">
        <f>C64-F64</f>
        <v>20000</v>
      </c>
      <c r="E64" s="89"/>
      <c r="F64" s="89"/>
    </row>
    <row r="65" spans="1:6" ht="12.75" customHeight="1">
      <c r="A65" s="37" t="s">
        <v>217</v>
      </c>
      <c r="B65" s="88" t="s">
        <v>285</v>
      </c>
      <c r="C65" s="89">
        <v>730000</v>
      </c>
      <c r="D65" s="99">
        <f t="shared" si="1"/>
        <v>730000</v>
      </c>
      <c r="E65" s="89"/>
      <c r="F65" s="89"/>
    </row>
    <row r="66" spans="1:6" ht="12.75" customHeight="1">
      <c r="A66" s="37" t="s">
        <v>220</v>
      </c>
      <c r="B66" s="88" t="s">
        <v>297</v>
      </c>
      <c r="C66" s="89">
        <v>60000</v>
      </c>
      <c r="D66" s="99">
        <f t="shared" si="1"/>
        <v>60000</v>
      </c>
      <c r="E66" s="89"/>
      <c r="F66" s="89"/>
    </row>
    <row r="67" spans="1:6" ht="12.75" customHeight="1">
      <c r="A67" s="37" t="s">
        <v>221</v>
      </c>
      <c r="B67" s="88" t="s">
        <v>346</v>
      </c>
      <c r="C67" s="89">
        <v>15000</v>
      </c>
      <c r="D67" s="99">
        <f t="shared" si="1"/>
        <v>15000</v>
      </c>
      <c r="E67" s="89"/>
      <c r="F67" s="89"/>
    </row>
    <row r="68" spans="1:6" ht="12.75" customHeight="1">
      <c r="A68" s="37" t="s">
        <v>222</v>
      </c>
      <c r="B68" s="88" t="s">
        <v>298</v>
      </c>
      <c r="C68" s="89">
        <v>96000</v>
      </c>
      <c r="D68" s="99">
        <f t="shared" si="1"/>
        <v>96000</v>
      </c>
      <c r="E68" s="89"/>
      <c r="F68" s="89"/>
    </row>
    <row r="69" spans="1:6" ht="12.75" customHeight="1">
      <c r="A69" s="37" t="s">
        <v>223</v>
      </c>
      <c r="B69" s="88" t="s">
        <v>347</v>
      </c>
      <c r="C69" s="89">
        <v>9500</v>
      </c>
      <c r="D69" s="99">
        <f t="shared" si="1"/>
        <v>9500</v>
      </c>
      <c r="E69" s="89"/>
      <c r="F69" s="89"/>
    </row>
    <row r="70" spans="1:6" ht="12.75" customHeight="1">
      <c r="A70" s="37" t="s">
        <v>224</v>
      </c>
      <c r="B70" s="88" t="s">
        <v>329</v>
      </c>
      <c r="C70" s="89">
        <v>470000</v>
      </c>
      <c r="D70" s="99">
        <f t="shared" si="1"/>
        <v>470000</v>
      </c>
      <c r="E70" s="89"/>
      <c r="F70" s="89"/>
    </row>
    <row r="71" spans="1:6" ht="12.75" customHeight="1">
      <c r="A71" s="37" t="s">
        <v>225</v>
      </c>
      <c r="B71" s="88" t="s">
        <v>300</v>
      </c>
      <c r="C71" s="89">
        <v>80000</v>
      </c>
      <c r="D71" s="99">
        <f t="shared" si="1"/>
        <v>80000</v>
      </c>
      <c r="E71" s="89"/>
      <c r="F71" s="89"/>
    </row>
    <row r="72" spans="1:6" ht="12.75" customHeight="1">
      <c r="A72" s="37" t="s">
        <v>226</v>
      </c>
      <c r="B72" s="88" t="s">
        <v>303</v>
      </c>
      <c r="C72" s="89">
        <f>35000-5000-200</f>
        <v>29800</v>
      </c>
      <c r="D72" s="99">
        <f t="shared" si="1"/>
        <v>29800</v>
      </c>
      <c r="E72" s="89"/>
      <c r="F72" s="89"/>
    </row>
    <row r="73" spans="1:6" ht="12.75" customHeight="1">
      <c r="A73" s="37" t="s">
        <v>227</v>
      </c>
      <c r="B73" s="88" t="s">
        <v>301</v>
      </c>
      <c r="C73" s="89">
        <f>10000-5000</f>
        <v>5000</v>
      </c>
      <c r="D73" s="99">
        <f>C73-F73</f>
        <v>5000</v>
      </c>
      <c r="E73" s="89"/>
      <c r="F73" s="89"/>
    </row>
    <row r="74" spans="1:6" ht="37.5" customHeight="1">
      <c r="A74" s="37" t="s">
        <v>228</v>
      </c>
      <c r="B74" s="88" t="s">
        <v>302</v>
      </c>
      <c r="C74" s="89">
        <f>160000+4000</f>
        <v>164000</v>
      </c>
      <c r="D74" s="99">
        <f t="shared" si="1"/>
        <v>164000</v>
      </c>
      <c r="E74" s="89"/>
      <c r="F74" s="89"/>
    </row>
    <row r="75" spans="1:6" ht="12.75" customHeight="1">
      <c r="A75" s="37" t="s">
        <v>229</v>
      </c>
      <c r="B75" s="88" t="s">
        <v>128</v>
      </c>
      <c r="C75" s="89">
        <v>2000</v>
      </c>
      <c r="D75" s="99">
        <f t="shared" si="1"/>
        <v>2000</v>
      </c>
      <c r="E75" s="89"/>
      <c r="F75" s="89"/>
    </row>
    <row r="76" spans="1:6" ht="12.75" customHeight="1">
      <c r="A76" s="37" t="s">
        <v>230</v>
      </c>
      <c r="B76" s="88" t="s">
        <v>129</v>
      </c>
      <c r="C76" s="89">
        <v>16000</v>
      </c>
      <c r="D76" s="99">
        <f t="shared" si="1"/>
        <v>16000</v>
      </c>
      <c r="E76" s="89"/>
      <c r="F76" s="89"/>
    </row>
    <row r="77" spans="1:6" ht="12.75" customHeight="1">
      <c r="A77" s="37" t="s">
        <v>231</v>
      </c>
      <c r="B77" s="88" t="s">
        <v>304</v>
      </c>
      <c r="C77" s="89">
        <v>8000</v>
      </c>
      <c r="D77" s="99">
        <f t="shared" si="1"/>
        <v>8000</v>
      </c>
      <c r="E77" s="89"/>
      <c r="F77" s="89"/>
    </row>
    <row r="78" spans="1:6" ht="12.75" customHeight="1">
      <c r="A78" s="37" t="s">
        <v>232</v>
      </c>
      <c r="B78" s="88" t="s">
        <v>137</v>
      </c>
      <c r="C78" s="89">
        <v>3000</v>
      </c>
      <c r="D78" s="99">
        <f t="shared" si="1"/>
        <v>3000</v>
      </c>
      <c r="E78" s="89"/>
      <c r="F78" s="89"/>
    </row>
    <row r="79" spans="1:6" ht="12.75" customHeight="1">
      <c r="A79" s="37" t="s">
        <v>233</v>
      </c>
      <c r="B79" s="88" t="s">
        <v>305</v>
      </c>
      <c r="C79" s="89">
        <v>20000</v>
      </c>
      <c r="D79" s="99">
        <f t="shared" si="1"/>
        <v>20000</v>
      </c>
      <c r="E79" s="89"/>
      <c r="F79" s="89"/>
    </row>
    <row r="80" spans="1:6" ht="12.75" customHeight="1">
      <c r="A80" s="37" t="s">
        <v>234</v>
      </c>
      <c r="B80" s="88" t="s">
        <v>358</v>
      </c>
      <c r="C80" s="89">
        <v>15000</v>
      </c>
      <c r="D80" s="99">
        <f t="shared" si="1"/>
        <v>15000</v>
      </c>
      <c r="E80" s="89"/>
      <c r="F80" s="89"/>
    </row>
    <row r="81" spans="1:6">
      <c r="A81" s="37" t="s">
        <v>235</v>
      </c>
      <c r="B81" s="88" t="s">
        <v>124</v>
      </c>
      <c r="C81" s="89">
        <v>34000</v>
      </c>
      <c r="D81" s="99">
        <f t="shared" si="1"/>
        <v>34000</v>
      </c>
      <c r="E81" s="89"/>
      <c r="F81" s="89"/>
    </row>
    <row r="82" spans="1:6">
      <c r="A82" s="37" t="s">
        <v>236</v>
      </c>
      <c r="B82" s="55" t="s">
        <v>139</v>
      </c>
      <c r="C82" s="89">
        <v>9500</v>
      </c>
      <c r="D82" s="99">
        <f>C82-F82</f>
        <v>9500</v>
      </c>
      <c r="E82" s="89"/>
      <c r="F82" s="89"/>
    </row>
    <row r="83" spans="1:6">
      <c r="A83" s="37" t="s">
        <v>237</v>
      </c>
      <c r="B83" s="55" t="s">
        <v>355</v>
      </c>
      <c r="C83" s="89">
        <f>10000-5000</f>
        <v>5000</v>
      </c>
      <c r="D83" s="99">
        <f>C83-F83</f>
        <v>5000</v>
      </c>
      <c r="E83" s="89"/>
      <c r="F83" s="89"/>
    </row>
    <row r="84" spans="1:6">
      <c r="A84" s="37" t="s">
        <v>238</v>
      </c>
      <c r="B84" s="55" t="s">
        <v>306</v>
      </c>
      <c r="C84" s="89">
        <v>180000</v>
      </c>
      <c r="D84" s="99">
        <f>C84-F84</f>
        <v>180000</v>
      </c>
      <c r="E84" s="89"/>
      <c r="F84" s="89"/>
    </row>
    <row r="85" spans="1:6">
      <c r="A85" s="37" t="s">
        <v>239</v>
      </c>
      <c r="B85" s="88" t="s">
        <v>307</v>
      </c>
      <c r="C85" s="89">
        <v>229900</v>
      </c>
      <c r="D85" s="99">
        <f t="shared" si="1"/>
        <v>229900</v>
      </c>
      <c r="E85" s="89"/>
      <c r="F85" s="89"/>
    </row>
    <row r="86" spans="1:6">
      <c r="A86" s="37" t="s">
        <v>240</v>
      </c>
      <c r="B86" s="131" t="s">
        <v>309</v>
      </c>
      <c r="C86" s="58">
        <f>20000+10000</f>
        <v>30000</v>
      </c>
      <c r="D86" s="94">
        <f t="shared" si="1"/>
        <v>30000</v>
      </c>
      <c r="E86" s="89"/>
      <c r="F86" s="89"/>
    </row>
    <row r="87" spans="1:6">
      <c r="A87" s="37" t="s">
        <v>254</v>
      </c>
      <c r="B87" s="137" t="s">
        <v>360</v>
      </c>
      <c r="C87" s="58">
        <v>5300</v>
      </c>
      <c r="D87" s="94">
        <f t="shared" si="1"/>
        <v>5300</v>
      </c>
      <c r="E87" s="89"/>
      <c r="F87" s="89"/>
    </row>
    <row r="88" spans="1:6" ht="12.75" customHeight="1">
      <c r="A88" s="37" t="s">
        <v>241</v>
      </c>
      <c r="B88" s="88" t="s">
        <v>308</v>
      </c>
      <c r="C88" s="89">
        <v>657700</v>
      </c>
      <c r="D88" s="99">
        <f t="shared" si="1"/>
        <v>657700</v>
      </c>
      <c r="E88" s="89"/>
      <c r="F88" s="89"/>
    </row>
    <row r="89" spans="1:6" ht="12.75" customHeight="1">
      <c r="A89" s="37" t="s">
        <v>255</v>
      </c>
      <c r="B89" s="131" t="s">
        <v>330</v>
      </c>
      <c r="C89" s="58">
        <f>15000+5000</f>
        <v>20000</v>
      </c>
      <c r="D89" s="94">
        <f t="shared" si="1"/>
        <v>20000</v>
      </c>
      <c r="E89" s="89"/>
      <c r="F89" s="89"/>
    </row>
    <row r="90" spans="1:6">
      <c r="A90" s="37" t="s">
        <v>264</v>
      </c>
      <c r="B90" s="131" t="s">
        <v>319</v>
      </c>
      <c r="C90" s="58">
        <f>566700-5000</f>
        <v>561700</v>
      </c>
      <c r="D90" s="94">
        <f t="shared" si="1"/>
        <v>431700</v>
      </c>
      <c r="E90" s="89">
        <v>73200</v>
      </c>
      <c r="F90" s="89">
        <v>130000</v>
      </c>
    </row>
    <row r="91" spans="1:6">
      <c r="A91" s="37" t="s">
        <v>265</v>
      </c>
      <c r="B91" s="88" t="s">
        <v>354</v>
      </c>
      <c r="C91" s="89">
        <f>374000-32800</f>
        <v>341200</v>
      </c>
      <c r="D91" s="99">
        <f t="shared" si="1"/>
        <v>341200</v>
      </c>
      <c r="E91" s="89"/>
      <c r="F91" s="89"/>
    </row>
    <row r="92" spans="1:6">
      <c r="A92" s="37" t="s">
        <v>266</v>
      </c>
      <c r="B92" s="88" t="s">
        <v>130</v>
      </c>
      <c r="C92" s="89">
        <v>35700</v>
      </c>
      <c r="D92" s="99">
        <f t="shared" si="1"/>
        <v>35700</v>
      </c>
      <c r="E92" s="89"/>
      <c r="F92" s="89"/>
    </row>
    <row r="93" spans="1:6">
      <c r="A93" s="37" t="s">
        <v>310</v>
      </c>
      <c r="B93" s="88" t="s">
        <v>135</v>
      </c>
      <c r="C93" s="89">
        <f>110000-5000</f>
        <v>105000</v>
      </c>
      <c r="D93" s="99">
        <f t="shared" si="1"/>
        <v>68900</v>
      </c>
      <c r="E93" s="89"/>
      <c r="F93" s="89">
        <v>36100</v>
      </c>
    </row>
    <row r="94" spans="1:6">
      <c r="A94" s="37" t="s">
        <v>311</v>
      </c>
      <c r="B94" s="88" t="s">
        <v>316</v>
      </c>
      <c r="C94" s="89">
        <v>9000</v>
      </c>
      <c r="D94" s="99">
        <f t="shared" si="1"/>
        <v>9000</v>
      </c>
      <c r="E94" s="89"/>
      <c r="F94" s="89"/>
    </row>
    <row r="95" spans="1:6">
      <c r="A95" s="37" t="s">
        <v>312</v>
      </c>
      <c r="B95" s="88" t="s">
        <v>351</v>
      </c>
      <c r="C95" s="89">
        <v>16200</v>
      </c>
      <c r="D95" s="99">
        <f t="shared" si="1"/>
        <v>16200</v>
      </c>
      <c r="E95" s="89"/>
      <c r="F95" s="89"/>
    </row>
    <row r="96" spans="1:6">
      <c r="A96" s="37" t="s">
        <v>313</v>
      </c>
      <c r="B96" s="88" t="s">
        <v>349</v>
      </c>
      <c r="C96" s="89">
        <v>35000</v>
      </c>
      <c r="D96" s="99">
        <f t="shared" si="1"/>
        <v>0</v>
      </c>
      <c r="E96" s="89"/>
      <c r="F96" s="89">
        <v>35000</v>
      </c>
    </row>
    <row r="97" spans="1:6">
      <c r="A97" s="37" t="s">
        <v>314</v>
      </c>
      <c r="B97" s="88" t="s">
        <v>131</v>
      </c>
      <c r="C97" s="89">
        <v>55500</v>
      </c>
      <c r="D97" s="99">
        <f t="shared" si="1"/>
        <v>55500</v>
      </c>
      <c r="E97" s="89"/>
      <c r="F97" s="89"/>
    </row>
    <row r="98" spans="1:6">
      <c r="A98" s="37" t="s">
        <v>315</v>
      </c>
      <c r="B98" s="88" t="s">
        <v>125</v>
      </c>
      <c r="C98" s="89">
        <f>557200+100000+46100</f>
        <v>703300</v>
      </c>
      <c r="D98" s="99">
        <f t="shared" si="1"/>
        <v>2500</v>
      </c>
      <c r="E98" s="89">
        <v>300</v>
      </c>
      <c r="F98" s="89">
        <f>556000+100000+44800</f>
        <v>700800</v>
      </c>
    </row>
    <row r="99" spans="1:6">
      <c r="A99" s="37" t="s">
        <v>317</v>
      </c>
      <c r="B99" s="132" t="s">
        <v>142</v>
      </c>
      <c r="C99" s="27">
        <f>C14+C15+C16+C17+C18+C19+C20+C21+C22+C23+C24+C25+C26+C27+C28+C29+C30+C31+C32+C33+C34+C35+C36+C37+C38+C39+C40+C41+C42+C43+C44+C45+C46+C47+C48+C49</f>
        <v>22314900</v>
      </c>
      <c r="D99" s="27">
        <f>D14+D15+D16+D17+D18+D19+D20+D21+D22+D23+D24+D25+D26+D27+D28+D29+D30+D31+D32+D33+D34+D35+D36+D37+D38+D39+D40+D41+D42+D43+D44+D45+D46+D47+D48+D49</f>
        <v>21064100</v>
      </c>
      <c r="E99" s="27">
        <f>E14+E15+E16+E17+E18+E19+E20+E21+E22+E23+E24+E25+E26+E27+E28+E29+E30+E31+E32+E33+E34+E35+E36+E37+E38+E39+E40+E41+E42+E43+E44+E45+E46+E47+E48+E49</f>
        <v>10216100</v>
      </c>
      <c r="F99" s="27">
        <f>F14+F15+F16+F17+F18+F19+F20+F21+F22+F23+F24+F25+F26+F27+F28+F29+F30+F31+F32+F33+F34+F35+F36+F37+F38+F39+F40+F41+F42+F43+F44+F45+F46+F47+F48+F49</f>
        <v>1250800</v>
      </c>
    </row>
    <row r="100" spans="1:6">
      <c r="A100" s="171"/>
      <c r="B100" s="171"/>
      <c r="C100" s="171"/>
      <c r="D100" s="171"/>
      <c r="E100" s="171"/>
      <c r="F100" s="171"/>
    </row>
    <row r="101" spans="1:6">
      <c r="A101" s="172" t="s">
        <v>49</v>
      </c>
      <c r="B101" s="172"/>
      <c r="C101" s="172"/>
      <c r="D101" s="172"/>
      <c r="E101" s="172"/>
      <c r="F101" s="172"/>
    </row>
    <row r="102" spans="1:6">
      <c r="A102" s="87"/>
      <c r="B102" s="87"/>
      <c r="C102" s="87"/>
      <c r="D102" s="87"/>
      <c r="E102" s="87"/>
      <c r="F102" s="87"/>
    </row>
    <row r="103" spans="1:6">
      <c r="A103" s="87"/>
      <c r="B103" s="87"/>
      <c r="C103" s="87"/>
      <c r="D103" s="87"/>
      <c r="E103" s="87"/>
      <c r="F103" s="87"/>
    </row>
    <row r="104" spans="1:6">
      <c r="A104" s="87"/>
      <c r="B104" s="87"/>
      <c r="C104" s="87"/>
      <c r="D104" s="87"/>
      <c r="E104" s="87"/>
      <c r="F104" s="87"/>
    </row>
    <row r="105" spans="1:6">
      <c r="A105" s="87"/>
      <c r="B105" s="87"/>
      <c r="C105" s="87"/>
      <c r="D105" s="87"/>
      <c r="E105" s="87"/>
      <c r="F105" s="87"/>
    </row>
    <row r="106" spans="1:6">
      <c r="A106" s="87"/>
      <c r="B106" s="87"/>
      <c r="C106" s="87"/>
      <c r="D106" s="87"/>
      <c r="E106" s="87"/>
      <c r="F106" s="87"/>
    </row>
    <row r="107" spans="1:6">
      <c r="A107" s="87"/>
      <c r="B107" s="87"/>
      <c r="C107" s="87"/>
      <c r="D107" s="87"/>
      <c r="E107" s="87"/>
      <c r="F107" s="87"/>
    </row>
    <row r="108" spans="1:6">
      <c r="A108" s="87"/>
      <c r="B108" s="87"/>
      <c r="C108" s="87"/>
      <c r="D108" s="87"/>
      <c r="E108" s="87"/>
      <c r="F108" s="87"/>
    </row>
    <row r="109" spans="1:6">
      <c r="A109" s="87"/>
      <c r="B109" s="87"/>
      <c r="C109" s="87"/>
      <c r="D109" s="87"/>
      <c r="E109" s="87"/>
      <c r="F109" s="87"/>
    </row>
    <row r="110" spans="1:6">
      <c r="A110" s="87"/>
      <c r="B110" s="87"/>
      <c r="C110" s="87"/>
      <c r="D110" s="87"/>
      <c r="E110" s="87"/>
      <c r="F110" s="87"/>
    </row>
    <row r="111" spans="1:6">
      <c r="A111" s="87"/>
      <c r="B111" s="87"/>
      <c r="C111" s="87"/>
      <c r="D111" s="87"/>
      <c r="E111" s="87"/>
      <c r="F111" s="87"/>
    </row>
    <row r="112" spans="1:6">
      <c r="A112" s="87"/>
      <c r="B112" s="87"/>
      <c r="C112" s="87"/>
      <c r="D112" s="87"/>
      <c r="E112" s="87"/>
      <c r="F112" s="87"/>
    </row>
    <row r="113" spans="1:6">
      <c r="A113" s="87"/>
      <c r="B113" s="87"/>
      <c r="C113" s="87"/>
      <c r="D113" s="87"/>
      <c r="E113" s="87"/>
      <c r="F113" s="87"/>
    </row>
    <row r="114" spans="1:6">
      <c r="A114" s="87"/>
      <c r="B114" s="87"/>
      <c r="C114" s="87"/>
      <c r="D114" s="87"/>
      <c r="E114" s="87"/>
      <c r="F114" s="87"/>
    </row>
    <row r="115" spans="1:6">
      <c r="A115" s="87"/>
      <c r="B115" s="87"/>
      <c r="C115" s="87"/>
      <c r="D115" s="87"/>
      <c r="E115" s="87"/>
      <c r="F115" s="87"/>
    </row>
    <row r="116" spans="1:6">
      <c r="A116" s="87"/>
      <c r="B116" s="87"/>
      <c r="C116" s="87"/>
      <c r="D116" s="87"/>
      <c r="E116" s="87"/>
      <c r="F116" s="87"/>
    </row>
    <row r="117" spans="1:6">
      <c r="A117" s="87"/>
      <c r="B117" s="87"/>
      <c r="C117" s="87"/>
      <c r="D117" s="87"/>
      <c r="E117" s="87"/>
      <c r="F117" s="87"/>
    </row>
    <row r="118" spans="1:6">
      <c r="A118" s="87"/>
      <c r="B118" s="87"/>
      <c r="C118" s="87"/>
      <c r="D118" s="87"/>
      <c r="E118" s="87"/>
      <c r="F118" s="87"/>
    </row>
    <row r="119" spans="1:6">
      <c r="A119" s="87"/>
      <c r="B119" s="87"/>
      <c r="C119" s="87"/>
      <c r="D119" s="87"/>
      <c r="E119" s="87"/>
      <c r="F119" s="87"/>
    </row>
    <row r="120" spans="1:6">
      <c r="A120" s="87"/>
      <c r="B120" s="87"/>
      <c r="C120" s="87"/>
      <c r="D120" s="87"/>
      <c r="E120" s="87"/>
      <c r="F120" s="87"/>
    </row>
    <row r="121" spans="1:6">
      <c r="A121" s="87"/>
      <c r="B121" s="87"/>
      <c r="C121" s="87"/>
      <c r="D121" s="87"/>
      <c r="E121" s="87"/>
      <c r="F121" s="87"/>
    </row>
    <row r="122" spans="1:6">
      <c r="A122" s="87"/>
      <c r="B122" s="87"/>
      <c r="C122" s="87"/>
      <c r="D122" s="87"/>
      <c r="E122" s="87"/>
      <c r="F122" s="87"/>
    </row>
    <row r="123" spans="1:6">
      <c r="A123" s="87"/>
      <c r="B123" s="87"/>
      <c r="C123" s="87"/>
      <c r="D123" s="87"/>
      <c r="E123" s="87"/>
      <c r="F123" s="87"/>
    </row>
    <row r="124" spans="1:6">
      <c r="A124" s="87"/>
      <c r="B124" s="87"/>
      <c r="C124" s="87"/>
      <c r="D124" s="87"/>
      <c r="E124" s="87"/>
      <c r="F124" s="87"/>
    </row>
    <row r="125" spans="1:6">
      <c r="A125" s="87"/>
      <c r="B125" s="87"/>
      <c r="C125" s="87"/>
      <c r="D125" s="87"/>
      <c r="E125" s="87"/>
      <c r="F125" s="87"/>
    </row>
    <row r="126" spans="1:6">
      <c r="A126" s="87"/>
      <c r="B126" s="87"/>
      <c r="C126" s="87"/>
      <c r="D126" s="87"/>
      <c r="E126" s="87"/>
      <c r="F126" s="87"/>
    </row>
    <row r="127" spans="1:6">
      <c r="A127" s="87"/>
      <c r="B127" s="87"/>
      <c r="C127" s="87"/>
      <c r="D127" s="87"/>
      <c r="E127" s="87"/>
      <c r="F127" s="87"/>
    </row>
    <row r="128" spans="1:6">
      <c r="A128" s="90"/>
      <c r="B128" s="90"/>
      <c r="C128" s="90"/>
      <c r="D128" s="90"/>
      <c r="E128" s="90"/>
      <c r="F128" s="90"/>
    </row>
    <row r="129" spans="1:6">
      <c r="A129" s="90"/>
      <c r="B129" s="90"/>
      <c r="C129" s="90"/>
      <c r="D129" s="90"/>
      <c r="E129" s="90"/>
      <c r="F129" s="90"/>
    </row>
    <row r="130" spans="1:6">
      <c r="A130" s="90"/>
      <c r="B130" s="90"/>
      <c r="C130" s="90"/>
      <c r="D130" s="90"/>
      <c r="E130" s="90"/>
      <c r="F130" s="90"/>
    </row>
    <row r="131" spans="1:6">
      <c r="A131" s="90"/>
      <c r="B131" s="90"/>
      <c r="C131" s="90"/>
      <c r="D131" s="90"/>
      <c r="E131" s="90"/>
      <c r="F131" s="90"/>
    </row>
    <row r="132" spans="1:6">
      <c r="A132" s="90"/>
      <c r="B132" s="90"/>
      <c r="C132" s="90"/>
      <c r="D132" s="90"/>
      <c r="E132" s="90"/>
      <c r="F132" s="90"/>
    </row>
    <row r="133" spans="1:6">
      <c r="A133" s="90"/>
      <c r="B133" s="90"/>
      <c r="C133" s="90"/>
      <c r="D133" s="90"/>
      <c r="E133" s="90"/>
      <c r="F133" s="90"/>
    </row>
    <row r="134" spans="1:6">
      <c r="A134" s="90"/>
      <c r="B134" s="90"/>
      <c r="C134" s="90"/>
      <c r="D134" s="90"/>
      <c r="E134" s="90"/>
      <c r="F134" s="90"/>
    </row>
    <row r="135" spans="1:6">
      <c r="A135" s="90"/>
      <c r="B135" s="90"/>
      <c r="C135" s="90"/>
      <c r="D135" s="90"/>
      <c r="E135" s="90"/>
      <c r="F135" s="90"/>
    </row>
    <row r="136" spans="1:6">
      <c r="A136" s="90"/>
      <c r="B136" s="90"/>
      <c r="C136" s="90"/>
      <c r="D136" s="90"/>
      <c r="E136" s="90"/>
      <c r="F136" s="90"/>
    </row>
    <row r="137" spans="1:6">
      <c r="A137" s="90"/>
      <c r="B137" s="90"/>
      <c r="C137" s="90"/>
      <c r="D137" s="90"/>
      <c r="E137" s="90"/>
      <c r="F137" s="90"/>
    </row>
    <row r="138" spans="1:6">
      <c r="A138" s="90"/>
      <c r="B138" s="90"/>
      <c r="C138" s="90"/>
      <c r="D138" s="90"/>
      <c r="E138" s="90"/>
      <c r="F138" s="90"/>
    </row>
    <row r="139" spans="1:6">
      <c r="A139" s="90"/>
      <c r="B139" s="90"/>
      <c r="C139" s="90"/>
      <c r="D139" s="90"/>
      <c r="E139" s="90"/>
      <c r="F139" s="90"/>
    </row>
    <row r="140" spans="1:6">
      <c r="A140" s="90"/>
      <c r="B140" s="90"/>
      <c r="C140" s="90"/>
      <c r="D140" s="90"/>
      <c r="E140" s="90"/>
      <c r="F140" s="90"/>
    </row>
    <row r="141" spans="1:6">
      <c r="A141" s="90"/>
      <c r="B141" s="90"/>
      <c r="C141" s="90"/>
      <c r="D141" s="90"/>
      <c r="E141" s="90"/>
      <c r="F141" s="90"/>
    </row>
    <row r="142" spans="1:6">
      <c r="A142" s="90"/>
      <c r="B142" s="90"/>
      <c r="C142" s="90"/>
      <c r="D142" s="90"/>
      <c r="E142" s="90"/>
      <c r="F142" s="90"/>
    </row>
    <row r="143" spans="1:6">
      <c r="A143" s="90"/>
      <c r="B143" s="90"/>
      <c r="C143" s="90"/>
      <c r="D143" s="90"/>
      <c r="E143" s="90"/>
      <c r="F143" s="90"/>
    </row>
    <row r="144" spans="1:6">
      <c r="A144" s="90"/>
      <c r="B144" s="90"/>
      <c r="C144" s="90"/>
      <c r="D144" s="90"/>
      <c r="E144" s="90"/>
      <c r="F144" s="90"/>
    </row>
    <row r="145" spans="1:6">
      <c r="A145" s="90"/>
      <c r="B145" s="90"/>
      <c r="C145" s="90"/>
      <c r="D145" s="90"/>
      <c r="E145" s="90"/>
      <c r="F145" s="90"/>
    </row>
    <row r="146" spans="1:6">
      <c r="A146" s="90"/>
      <c r="B146" s="90"/>
      <c r="C146" s="90"/>
      <c r="D146" s="90"/>
      <c r="E146" s="90"/>
      <c r="F146" s="90"/>
    </row>
    <row r="147" spans="1:6">
      <c r="A147" s="90"/>
      <c r="B147" s="90"/>
      <c r="C147" s="90"/>
      <c r="D147" s="90"/>
      <c r="E147" s="90"/>
      <c r="F147" s="90"/>
    </row>
    <row r="148" spans="1:6">
      <c r="A148" s="90"/>
      <c r="B148" s="90"/>
      <c r="C148" s="90"/>
      <c r="D148" s="90"/>
      <c r="E148" s="90"/>
      <c r="F148" s="90"/>
    </row>
    <row r="149" spans="1:6">
      <c r="A149" s="90"/>
      <c r="B149" s="90"/>
      <c r="C149" s="90"/>
      <c r="D149" s="90"/>
      <c r="E149" s="90"/>
      <c r="F149" s="90"/>
    </row>
    <row r="150" spans="1:6">
      <c r="A150" s="90"/>
      <c r="B150" s="90"/>
      <c r="C150" s="90"/>
      <c r="D150" s="90"/>
      <c r="E150" s="90"/>
      <c r="F150" s="90"/>
    </row>
    <row r="151" spans="1:6">
      <c r="A151" s="90"/>
      <c r="B151" s="90"/>
      <c r="C151" s="90"/>
      <c r="D151" s="90"/>
      <c r="E151" s="90"/>
      <c r="F151" s="90"/>
    </row>
    <row r="152" spans="1:6">
      <c r="A152" s="90"/>
      <c r="B152" s="90"/>
      <c r="C152" s="90"/>
      <c r="D152" s="90"/>
      <c r="E152" s="90"/>
      <c r="F152" s="90"/>
    </row>
    <row r="153" spans="1:6">
      <c r="A153" s="90"/>
      <c r="B153" s="90"/>
      <c r="C153" s="90"/>
      <c r="D153" s="90"/>
      <c r="E153" s="90"/>
      <c r="F153" s="90"/>
    </row>
    <row r="154" spans="1:6">
      <c r="A154" s="90"/>
      <c r="B154" s="90"/>
      <c r="C154" s="90"/>
      <c r="D154" s="90"/>
      <c r="E154" s="90"/>
      <c r="F154" s="90"/>
    </row>
    <row r="155" spans="1:6">
      <c r="A155" s="90"/>
      <c r="B155" s="90"/>
      <c r="C155" s="90"/>
      <c r="D155" s="90"/>
      <c r="E155" s="90"/>
      <c r="F155" s="90"/>
    </row>
    <row r="156" spans="1:6">
      <c r="A156" s="90"/>
      <c r="B156" s="90"/>
      <c r="C156" s="90"/>
      <c r="D156" s="90"/>
      <c r="E156" s="90"/>
      <c r="F156" s="90"/>
    </row>
    <row r="157" spans="1:6">
      <c r="A157" s="90"/>
      <c r="B157" s="90"/>
      <c r="C157" s="90"/>
      <c r="D157" s="90"/>
      <c r="E157" s="90"/>
      <c r="F157" s="90"/>
    </row>
    <row r="158" spans="1:6">
      <c r="A158" s="90"/>
      <c r="B158" s="90"/>
      <c r="C158" s="90"/>
      <c r="D158" s="90"/>
      <c r="E158" s="90"/>
      <c r="F158" s="90"/>
    </row>
    <row r="159" spans="1:6">
      <c r="A159" s="90"/>
      <c r="B159" s="90"/>
      <c r="C159" s="90"/>
      <c r="D159" s="90"/>
      <c r="E159" s="90"/>
      <c r="F159" s="90"/>
    </row>
    <row r="160" spans="1:6">
      <c r="A160" s="90"/>
      <c r="B160" s="90"/>
      <c r="C160" s="90"/>
      <c r="D160" s="90"/>
      <c r="E160" s="90"/>
      <c r="F160" s="90"/>
    </row>
    <row r="161" spans="1:6">
      <c r="A161" s="90"/>
      <c r="B161" s="90"/>
      <c r="C161" s="90"/>
      <c r="D161" s="90"/>
      <c r="E161" s="90"/>
      <c r="F161" s="90"/>
    </row>
    <row r="162" spans="1:6">
      <c r="A162" s="90"/>
      <c r="B162" s="90"/>
      <c r="C162" s="90"/>
      <c r="D162" s="90"/>
      <c r="E162" s="90"/>
      <c r="F162" s="90"/>
    </row>
    <row r="163" spans="1:6">
      <c r="A163" s="90"/>
      <c r="B163" s="90"/>
      <c r="C163" s="90"/>
      <c r="D163" s="90"/>
      <c r="E163" s="90"/>
      <c r="F163" s="90"/>
    </row>
    <row r="164" spans="1:6">
      <c r="A164" s="90"/>
      <c r="B164" s="90"/>
      <c r="C164" s="90"/>
      <c r="D164" s="90"/>
      <c r="E164" s="90"/>
      <c r="F164" s="90"/>
    </row>
    <row r="165" spans="1:6">
      <c r="A165" s="90"/>
      <c r="B165" s="90"/>
      <c r="C165" s="90"/>
      <c r="D165" s="90"/>
      <c r="E165" s="90"/>
      <c r="F165" s="90"/>
    </row>
    <row r="166" spans="1:6">
      <c r="A166" s="90"/>
      <c r="B166" s="90"/>
      <c r="C166" s="90"/>
      <c r="D166" s="90"/>
      <c r="E166" s="90"/>
      <c r="F166" s="90"/>
    </row>
    <row r="167" spans="1:6">
      <c r="A167" s="90"/>
      <c r="B167" s="90"/>
      <c r="C167" s="90"/>
      <c r="D167" s="90"/>
      <c r="E167" s="90"/>
      <c r="F167" s="90"/>
    </row>
    <row r="168" spans="1:6">
      <c r="A168" s="90"/>
      <c r="B168" s="90"/>
      <c r="C168" s="90"/>
      <c r="D168" s="90"/>
      <c r="E168" s="90"/>
      <c r="F168" s="90"/>
    </row>
    <row r="169" spans="1:6">
      <c r="A169" s="90"/>
      <c r="B169" s="90"/>
      <c r="C169" s="90"/>
      <c r="D169" s="90"/>
      <c r="E169" s="90"/>
      <c r="F169" s="90"/>
    </row>
    <row r="170" spans="1:6">
      <c r="A170" s="90"/>
      <c r="B170" s="90"/>
      <c r="C170" s="90"/>
      <c r="D170" s="90"/>
      <c r="E170" s="90"/>
      <c r="F170" s="90"/>
    </row>
    <row r="171" spans="1:6">
      <c r="A171" s="90"/>
      <c r="B171" s="90"/>
      <c r="C171" s="90"/>
      <c r="D171" s="90"/>
      <c r="E171" s="90"/>
      <c r="F171" s="90"/>
    </row>
    <row r="172" spans="1:6">
      <c r="A172" s="90"/>
      <c r="B172" s="90"/>
      <c r="C172" s="90"/>
      <c r="D172" s="90"/>
      <c r="E172" s="90"/>
      <c r="F172" s="90"/>
    </row>
    <row r="173" spans="1:6">
      <c r="A173" s="90"/>
      <c r="B173" s="90"/>
      <c r="C173" s="90"/>
      <c r="D173" s="90"/>
      <c r="E173" s="90"/>
      <c r="F173" s="90"/>
    </row>
    <row r="174" spans="1:6">
      <c r="A174" s="90"/>
      <c r="B174" s="90"/>
      <c r="C174" s="90"/>
      <c r="D174" s="90"/>
      <c r="E174" s="90"/>
      <c r="F174" s="90"/>
    </row>
    <row r="175" spans="1:6">
      <c r="A175" s="90"/>
      <c r="B175" s="90"/>
      <c r="C175" s="90"/>
      <c r="D175" s="90"/>
      <c r="E175" s="90"/>
      <c r="F175" s="90"/>
    </row>
    <row r="176" spans="1:6">
      <c r="A176" s="90"/>
      <c r="B176" s="90"/>
      <c r="C176" s="90"/>
      <c r="D176" s="90"/>
      <c r="E176" s="90"/>
      <c r="F176" s="90"/>
    </row>
    <row r="177" spans="1:6">
      <c r="A177" s="90"/>
      <c r="B177" s="90"/>
      <c r="C177" s="90"/>
      <c r="D177" s="90"/>
      <c r="E177" s="90"/>
      <c r="F177" s="90"/>
    </row>
    <row r="178" spans="1:6">
      <c r="A178" s="90"/>
      <c r="B178" s="90"/>
      <c r="C178" s="90"/>
      <c r="D178" s="90"/>
      <c r="E178" s="90"/>
      <c r="F178" s="90"/>
    </row>
    <row r="179" spans="1:6">
      <c r="A179" s="90"/>
      <c r="B179" s="90"/>
      <c r="C179" s="90"/>
      <c r="D179" s="90"/>
      <c r="E179" s="90"/>
      <c r="F179" s="90"/>
    </row>
    <row r="180" spans="1:6">
      <c r="A180" s="90"/>
      <c r="B180" s="90"/>
      <c r="C180" s="90"/>
      <c r="D180" s="90"/>
      <c r="E180" s="90"/>
      <c r="F180" s="90"/>
    </row>
    <row r="181" spans="1:6">
      <c r="A181" s="90"/>
      <c r="B181" s="90"/>
      <c r="C181" s="90"/>
      <c r="D181" s="90"/>
      <c r="E181" s="90"/>
      <c r="F181" s="90"/>
    </row>
  </sheetData>
  <mergeCells count="15">
    <mergeCell ref="F11:F12"/>
    <mergeCell ref="D1:F1"/>
    <mergeCell ref="D2:F2"/>
    <mergeCell ref="D3:F3"/>
    <mergeCell ref="D4:F4"/>
    <mergeCell ref="A100:F100"/>
    <mergeCell ref="A101:F101"/>
    <mergeCell ref="A5:F7"/>
    <mergeCell ref="C8:F8"/>
    <mergeCell ref="A9:A12"/>
    <mergeCell ref="B9:B12"/>
    <mergeCell ref="C9:F9"/>
    <mergeCell ref="C10:C12"/>
    <mergeCell ref="D10:F10"/>
    <mergeCell ref="D11:E11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0"/>
  <sheetViews>
    <sheetView zoomScale="135" zoomScaleNormal="135" workbookViewId="0">
      <selection activeCell="E3" sqref="E3:G3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5"/>
      <c r="E1" s="157" t="s">
        <v>7</v>
      </c>
      <c r="F1" s="157"/>
      <c r="G1" s="157"/>
    </row>
    <row r="2" spans="1:8" ht="14.1" customHeight="1">
      <c r="A2" s="3"/>
      <c r="B2" s="3"/>
      <c r="C2" s="3"/>
      <c r="D2" s="35"/>
      <c r="E2" s="157" t="s">
        <v>359</v>
      </c>
      <c r="F2" s="157"/>
      <c r="G2" s="157"/>
    </row>
    <row r="3" spans="1:8" ht="14.1" customHeight="1">
      <c r="A3" s="1"/>
      <c r="B3" s="2"/>
      <c r="C3" s="3"/>
      <c r="D3" s="35"/>
      <c r="E3" s="157" t="s">
        <v>368</v>
      </c>
      <c r="F3" s="157"/>
      <c r="G3" s="157"/>
    </row>
    <row r="4" spans="1:8" ht="14.1" customHeight="1">
      <c r="A4" s="1"/>
      <c r="B4" s="2"/>
      <c r="C4" s="16"/>
      <c r="D4" s="16"/>
      <c r="E4" s="164" t="s">
        <v>267</v>
      </c>
      <c r="F4" s="164"/>
      <c r="G4" s="164"/>
    </row>
    <row r="5" spans="1:8">
      <c r="A5" s="1"/>
      <c r="B5" s="2"/>
      <c r="C5" s="3"/>
      <c r="D5" s="16"/>
      <c r="E5" s="16"/>
      <c r="F5" s="16"/>
      <c r="G5" s="16"/>
    </row>
    <row r="6" spans="1:8" ht="12" customHeight="1">
      <c r="A6" s="165" t="s">
        <v>353</v>
      </c>
      <c r="B6" s="165"/>
      <c r="C6" s="165"/>
      <c r="D6" s="165"/>
      <c r="E6" s="165"/>
      <c r="F6" s="165"/>
      <c r="G6" s="165"/>
      <c r="H6" s="48"/>
    </row>
    <row r="7" spans="1:8" ht="12" customHeight="1">
      <c r="A7" s="165"/>
      <c r="B7" s="165"/>
      <c r="C7" s="165"/>
      <c r="D7" s="165"/>
      <c r="E7" s="165"/>
      <c r="F7" s="165"/>
      <c r="G7" s="165"/>
      <c r="H7" s="48"/>
    </row>
    <row r="8" spans="1:8" ht="15" customHeight="1">
      <c r="A8" s="1"/>
      <c r="B8" s="2"/>
      <c r="C8" s="3"/>
      <c r="D8" s="176"/>
      <c r="E8" s="176"/>
      <c r="F8" s="173" t="s">
        <v>281</v>
      </c>
      <c r="G8" s="173"/>
      <c r="H8" s="33"/>
    </row>
    <row r="9" spans="1:8">
      <c r="A9" s="147" t="s">
        <v>0</v>
      </c>
      <c r="B9" s="150" t="s">
        <v>1</v>
      </c>
      <c r="C9" s="147" t="s">
        <v>116</v>
      </c>
      <c r="D9" s="175" t="s">
        <v>134</v>
      </c>
      <c r="E9" s="159"/>
      <c r="F9" s="159"/>
      <c r="G9" s="160"/>
    </row>
    <row r="10" spans="1:8" ht="12.75" customHeight="1">
      <c r="A10" s="148"/>
      <c r="B10" s="151"/>
      <c r="C10" s="148"/>
      <c r="D10" s="147" t="s">
        <v>3</v>
      </c>
      <c r="E10" s="161" t="s">
        <v>4</v>
      </c>
      <c r="F10" s="161"/>
      <c r="G10" s="162"/>
    </row>
    <row r="11" spans="1:8">
      <c r="A11" s="148"/>
      <c r="B11" s="151"/>
      <c r="C11" s="148"/>
      <c r="D11" s="148"/>
      <c r="E11" s="163" t="s">
        <v>132</v>
      </c>
      <c r="F11" s="163"/>
      <c r="G11" s="147" t="s">
        <v>51</v>
      </c>
    </row>
    <row r="12" spans="1:8" ht="24.75" customHeight="1">
      <c r="A12" s="149"/>
      <c r="B12" s="152"/>
      <c r="C12" s="149"/>
      <c r="D12" s="149"/>
      <c r="E12" s="91" t="s">
        <v>133</v>
      </c>
      <c r="F12" s="93" t="s">
        <v>8</v>
      </c>
      <c r="G12" s="149"/>
    </row>
    <row r="13" spans="1:8" ht="12" customHeight="1">
      <c r="A13" s="5">
        <v>1</v>
      </c>
      <c r="B13" s="78" t="s">
        <v>5</v>
      </c>
      <c r="C13" s="4">
        <v>3</v>
      </c>
      <c r="D13" s="4">
        <v>5</v>
      </c>
      <c r="E13" s="4">
        <v>6</v>
      </c>
      <c r="F13" s="4">
        <v>7</v>
      </c>
      <c r="G13" s="4">
        <v>8</v>
      </c>
    </row>
    <row r="14" spans="1:8" ht="25.5">
      <c r="A14" s="74" t="s">
        <v>87</v>
      </c>
      <c r="B14" s="153" t="s">
        <v>10</v>
      </c>
      <c r="C14" s="17" t="s">
        <v>11</v>
      </c>
      <c r="D14" s="81">
        <f>SUM(D15:D20)</f>
        <v>10049300</v>
      </c>
      <c r="E14" s="81">
        <f>SUM(E15:E20)</f>
        <v>10035300</v>
      </c>
      <c r="F14" s="81">
        <f>SUM(F15:F20)</f>
        <v>6096300</v>
      </c>
      <c r="G14" s="81">
        <f>SUM(G15:G20)</f>
        <v>14000</v>
      </c>
    </row>
    <row r="15" spans="1:8">
      <c r="A15" s="77" t="s">
        <v>88</v>
      </c>
      <c r="B15" s="154"/>
      <c r="C15" s="18" t="s">
        <v>117</v>
      </c>
      <c r="D15" s="20">
        <f>4142200</f>
        <v>4142200</v>
      </c>
      <c r="E15" s="20">
        <f t="shared" ref="E15:E20" si="0">D15-G15</f>
        <v>4128200</v>
      </c>
      <c r="F15" s="20">
        <v>2236500</v>
      </c>
      <c r="G15" s="20">
        <v>14000</v>
      </c>
    </row>
    <row r="16" spans="1:8">
      <c r="A16" s="77" t="s">
        <v>89</v>
      </c>
      <c r="B16" s="154"/>
      <c r="C16" s="18" t="s">
        <v>118</v>
      </c>
      <c r="D16" s="20">
        <v>5162600</v>
      </c>
      <c r="E16" s="20">
        <f t="shared" si="0"/>
        <v>5162600</v>
      </c>
      <c r="F16" s="20">
        <v>3666500</v>
      </c>
      <c r="G16" s="20"/>
    </row>
    <row r="17" spans="1:11">
      <c r="A17" s="74" t="s">
        <v>90</v>
      </c>
      <c r="B17" s="154"/>
      <c r="C17" s="18" t="s">
        <v>119</v>
      </c>
      <c r="D17" s="41">
        <v>191300</v>
      </c>
      <c r="E17" s="20">
        <f t="shared" si="0"/>
        <v>191300</v>
      </c>
      <c r="F17" s="41"/>
      <c r="G17" s="41"/>
      <c r="K17" s="47"/>
    </row>
    <row r="18" spans="1:11">
      <c r="A18" s="74" t="s">
        <v>91</v>
      </c>
      <c r="B18" s="154"/>
      <c r="C18" s="18" t="s">
        <v>331</v>
      </c>
      <c r="D18" s="41">
        <f>139100+132000</f>
        <v>271100</v>
      </c>
      <c r="E18" s="20">
        <f t="shared" si="0"/>
        <v>271100</v>
      </c>
      <c r="F18" s="41">
        <f>65800+100900</f>
        <v>166700</v>
      </c>
      <c r="G18" s="41"/>
    </row>
    <row r="19" spans="1:11">
      <c r="A19" s="74" t="s">
        <v>92</v>
      </c>
      <c r="B19" s="154"/>
      <c r="C19" s="18" t="s">
        <v>120</v>
      </c>
      <c r="D19" s="41">
        <v>263600</v>
      </c>
      <c r="E19" s="20">
        <f t="shared" si="0"/>
        <v>263600</v>
      </c>
      <c r="F19" s="41">
        <v>26600</v>
      </c>
      <c r="G19" s="41"/>
    </row>
    <row r="20" spans="1:11">
      <c r="A20" s="74" t="s">
        <v>93</v>
      </c>
      <c r="B20" s="154"/>
      <c r="C20" s="18" t="s">
        <v>332</v>
      </c>
      <c r="D20" s="41">
        <v>18500</v>
      </c>
      <c r="E20" s="20">
        <f t="shared" si="0"/>
        <v>18500</v>
      </c>
      <c r="F20" s="41"/>
      <c r="G20" s="41"/>
    </row>
    <row r="21" spans="1:11" ht="25.5">
      <c r="A21" s="74" t="s">
        <v>94</v>
      </c>
      <c r="B21" s="177" t="s">
        <v>9</v>
      </c>
      <c r="C21" s="8" t="s">
        <v>16</v>
      </c>
      <c r="D21" s="82">
        <f>SUM(D22:D26)</f>
        <v>4102600</v>
      </c>
      <c r="E21" s="82">
        <f>SUM(E22:E26)</f>
        <v>4092600</v>
      </c>
      <c r="F21" s="82">
        <f>SUM(F22:F26)</f>
        <v>1354600</v>
      </c>
      <c r="G21" s="82">
        <f>SUM(G22:G26)</f>
        <v>10000</v>
      </c>
    </row>
    <row r="22" spans="1:11" ht="12" customHeight="1">
      <c r="A22" s="75" t="s">
        <v>95</v>
      </c>
      <c r="B22" s="178"/>
      <c r="C22" s="18" t="s">
        <v>117</v>
      </c>
      <c r="D22" s="133">
        <v>1963200</v>
      </c>
      <c r="E22" s="20">
        <f>D22-G22</f>
        <v>1963200</v>
      </c>
      <c r="F22" s="133">
        <v>468700</v>
      </c>
      <c r="G22" s="133"/>
    </row>
    <row r="23" spans="1:11">
      <c r="A23" s="75" t="s">
        <v>96</v>
      </c>
      <c r="B23" s="178"/>
      <c r="C23" s="18" t="s">
        <v>331</v>
      </c>
      <c r="D23" s="23">
        <v>207000</v>
      </c>
      <c r="E23" s="20">
        <f>D23-G23</f>
        <v>207000</v>
      </c>
      <c r="F23" s="24">
        <v>145100</v>
      </c>
      <c r="G23" s="24"/>
    </row>
    <row r="24" spans="1:11" ht="12.75" customHeight="1">
      <c r="A24" s="75" t="s">
        <v>97</v>
      </c>
      <c r="B24" s="178"/>
      <c r="C24" s="18" t="s">
        <v>119</v>
      </c>
      <c r="D24" s="23">
        <v>776200</v>
      </c>
      <c r="E24" s="20">
        <f>D24-G24</f>
        <v>776200</v>
      </c>
      <c r="F24" s="23">
        <v>318800</v>
      </c>
      <c r="G24" s="23"/>
    </row>
    <row r="25" spans="1:11">
      <c r="A25" s="74" t="s">
        <v>98</v>
      </c>
      <c r="B25" s="178"/>
      <c r="C25" s="18" t="s">
        <v>120</v>
      </c>
      <c r="D25" s="23">
        <v>900200</v>
      </c>
      <c r="E25" s="20">
        <f>D25-G25</f>
        <v>890200</v>
      </c>
      <c r="F25" s="23">
        <v>422000</v>
      </c>
      <c r="G25" s="23">
        <v>10000</v>
      </c>
    </row>
    <row r="26" spans="1:11">
      <c r="A26" s="74" t="s">
        <v>99</v>
      </c>
      <c r="B26" s="178"/>
      <c r="C26" s="18" t="s">
        <v>172</v>
      </c>
      <c r="D26" s="41">
        <v>256000</v>
      </c>
      <c r="E26" s="41">
        <f>D26-G26</f>
        <v>256000</v>
      </c>
      <c r="F26" s="41"/>
      <c r="G26" s="23"/>
    </row>
    <row r="27" spans="1:11" ht="25.5">
      <c r="A27" s="37" t="s">
        <v>100</v>
      </c>
      <c r="B27" s="177" t="s">
        <v>56</v>
      </c>
      <c r="C27" s="22" t="s">
        <v>283</v>
      </c>
      <c r="D27" s="97">
        <f>SUM(D28:D29)</f>
        <v>1495200</v>
      </c>
      <c r="E27" s="97">
        <f>SUM(E28:E29)</f>
        <v>1482600</v>
      </c>
      <c r="F27" s="82">
        <f>SUM(F28:F29)</f>
        <v>770400</v>
      </c>
      <c r="G27" s="82">
        <f>SUM(G28:G29)</f>
        <v>12600</v>
      </c>
    </row>
    <row r="28" spans="1:11">
      <c r="A28" s="37" t="s">
        <v>101</v>
      </c>
      <c r="B28" s="178"/>
      <c r="C28" s="18" t="s">
        <v>117</v>
      </c>
      <c r="D28" s="23">
        <v>1486000</v>
      </c>
      <c r="E28" s="20">
        <f>D28-G28</f>
        <v>1473400</v>
      </c>
      <c r="F28" s="23">
        <v>770400</v>
      </c>
      <c r="G28" s="23">
        <v>12600</v>
      </c>
    </row>
    <row r="29" spans="1:11" ht="12.75" customHeight="1">
      <c r="A29" s="37" t="s">
        <v>102</v>
      </c>
      <c r="B29" s="178"/>
      <c r="C29" s="18" t="s">
        <v>120</v>
      </c>
      <c r="D29" s="23">
        <v>9200</v>
      </c>
      <c r="E29" s="20">
        <f>D29-G29</f>
        <v>9200</v>
      </c>
      <c r="F29" s="23"/>
      <c r="G29" s="23"/>
    </row>
    <row r="30" spans="1:11" ht="25.5">
      <c r="A30" s="74" t="s">
        <v>103</v>
      </c>
      <c r="B30" s="177" t="s">
        <v>19</v>
      </c>
      <c r="C30" s="22" t="s">
        <v>20</v>
      </c>
      <c r="D30" s="97">
        <f>SUM(D31:D35)</f>
        <v>3838000</v>
      </c>
      <c r="E30" s="97">
        <f>SUM(E31:E35)</f>
        <v>3525700</v>
      </c>
      <c r="F30" s="82">
        <f>SUM(F31:F35)</f>
        <v>1900700</v>
      </c>
      <c r="G30" s="82">
        <f>SUM(G31:G35)</f>
        <v>312300</v>
      </c>
    </row>
    <row r="31" spans="1:11">
      <c r="A31" s="76" t="s">
        <v>104</v>
      </c>
      <c r="B31" s="178"/>
      <c r="C31" s="18" t="s">
        <v>117</v>
      </c>
      <c r="D31" s="23">
        <f>2876500-400</f>
        <v>2876100</v>
      </c>
      <c r="E31" s="20">
        <f t="shared" ref="E31:E43" si="1">D31-G31</f>
        <v>2563800</v>
      </c>
      <c r="F31" s="23">
        <f>1347800-300</f>
        <v>1347500</v>
      </c>
      <c r="G31" s="23">
        <v>312300</v>
      </c>
    </row>
    <row r="32" spans="1:11">
      <c r="A32" s="74" t="s">
        <v>105</v>
      </c>
      <c r="B32" s="178"/>
      <c r="C32" s="18" t="s">
        <v>119</v>
      </c>
      <c r="D32" s="23">
        <v>906600</v>
      </c>
      <c r="E32" s="20">
        <f t="shared" si="1"/>
        <v>906600</v>
      </c>
      <c r="F32" s="23">
        <v>540500</v>
      </c>
      <c r="G32" s="23"/>
    </row>
    <row r="33" spans="1:9">
      <c r="A33" s="74" t="s">
        <v>106</v>
      </c>
      <c r="B33" s="178"/>
      <c r="C33" s="18" t="s">
        <v>331</v>
      </c>
      <c r="D33" s="23">
        <v>5300</v>
      </c>
      <c r="E33" s="20">
        <f t="shared" si="1"/>
        <v>5300</v>
      </c>
      <c r="F33" s="23"/>
      <c r="G33" s="23"/>
    </row>
    <row r="34" spans="1:9">
      <c r="A34" s="74" t="s">
        <v>107</v>
      </c>
      <c r="B34" s="178"/>
      <c r="C34" s="18" t="s">
        <v>172</v>
      </c>
      <c r="D34" s="23">
        <v>16000</v>
      </c>
      <c r="E34" s="20">
        <f t="shared" si="1"/>
        <v>16000</v>
      </c>
      <c r="F34" s="23">
        <v>12700</v>
      </c>
      <c r="G34" s="23"/>
    </row>
    <row r="35" spans="1:9">
      <c r="A35" s="74" t="s">
        <v>108</v>
      </c>
      <c r="B35" s="178"/>
      <c r="C35" s="18" t="s">
        <v>120</v>
      </c>
      <c r="D35" s="23">
        <v>34000</v>
      </c>
      <c r="E35" s="20">
        <f t="shared" si="1"/>
        <v>34000</v>
      </c>
      <c r="F35" s="23"/>
      <c r="G35" s="10"/>
    </row>
    <row r="36" spans="1:9" ht="25.5">
      <c r="A36" s="74" t="s">
        <v>109</v>
      </c>
      <c r="B36" s="177" t="s">
        <v>22</v>
      </c>
      <c r="C36" s="79" t="s">
        <v>115</v>
      </c>
      <c r="D36" s="82">
        <f>SUM(D37:D37)</f>
        <v>937600</v>
      </c>
      <c r="E36" s="82">
        <f>SUM(E37:E37)</f>
        <v>937600</v>
      </c>
      <c r="F36" s="82">
        <f>SUM(F37:F37)</f>
        <v>0</v>
      </c>
      <c r="G36" s="82">
        <f>SUM(G37:G37)</f>
        <v>0</v>
      </c>
    </row>
    <row r="37" spans="1:9">
      <c r="A37" s="74" t="s">
        <v>110</v>
      </c>
      <c r="B37" s="178"/>
      <c r="C37" s="18" t="s">
        <v>117</v>
      </c>
      <c r="D37" s="23">
        <v>937600</v>
      </c>
      <c r="E37" s="20">
        <f>D37-G37</f>
        <v>937600</v>
      </c>
      <c r="F37" s="30"/>
      <c r="G37" s="28"/>
    </row>
    <row r="38" spans="1:9" ht="25.5">
      <c r="A38" s="74" t="s">
        <v>111</v>
      </c>
      <c r="B38" s="177" t="s">
        <v>78</v>
      </c>
      <c r="C38" s="79" t="s">
        <v>248</v>
      </c>
      <c r="D38" s="82">
        <f>SUM(D39:D41)</f>
        <v>1188900</v>
      </c>
      <c r="E38" s="30">
        <f>SUM(E39:E41)</f>
        <v>987800</v>
      </c>
      <c r="F38" s="30">
        <f>SUM(F39:F41)</f>
        <v>93800</v>
      </c>
      <c r="G38" s="82">
        <f>SUM(G39:G41)</f>
        <v>201100</v>
      </c>
    </row>
    <row r="39" spans="1:9" ht="12.75" customHeight="1">
      <c r="A39" s="74" t="s">
        <v>112</v>
      </c>
      <c r="B39" s="178"/>
      <c r="C39" s="18" t="s">
        <v>117</v>
      </c>
      <c r="D39" s="23">
        <v>1159300</v>
      </c>
      <c r="E39" s="20">
        <f t="shared" si="1"/>
        <v>958200</v>
      </c>
      <c r="F39" s="23">
        <v>73200</v>
      </c>
      <c r="G39" s="23">
        <v>201100</v>
      </c>
    </row>
    <row r="40" spans="1:9" ht="12.75" customHeight="1">
      <c r="A40" s="74" t="s">
        <v>113</v>
      </c>
      <c r="B40" s="178"/>
      <c r="C40" s="18" t="s">
        <v>119</v>
      </c>
      <c r="D40" s="23">
        <v>29600</v>
      </c>
      <c r="E40" s="20">
        <f>D40-G40</f>
        <v>29600</v>
      </c>
      <c r="F40" s="23">
        <v>20600</v>
      </c>
      <c r="G40" s="23"/>
    </row>
    <row r="41" spans="1:9" ht="12.75" customHeight="1">
      <c r="A41" s="74" t="s">
        <v>193</v>
      </c>
      <c r="B41" s="178"/>
      <c r="C41" s="18" t="s">
        <v>331</v>
      </c>
      <c r="D41" s="23"/>
      <c r="E41" s="20">
        <f>D41-G41</f>
        <v>0</v>
      </c>
      <c r="F41" s="23"/>
      <c r="G41" s="23"/>
      <c r="I41" s="117"/>
    </row>
    <row r="42" spans="1:9" ht="12.75" customHeight="1">
      <c r="A42" s="74" t="s">
        <v>194</v>
      </c>
      <c r="B42" s="177" t="s">
        <v>79</v>
      </c>
      <c r="C42" s="22" t="s">
        <v>81</v>
      </c>
      <c r="D42" s="95">
        <f>SUM(D43:D44)</f>
        <v>703300</v>
      </c>
      <c r="E42" s="96">
        <f>SUM(E43:E44)</f>
        <v>2500</v>
      </c>
      <c r="F42" s="96">
        <f>SUM(F43:F44)</f>
        <v>300</v>
      </c>
      <c r="G42" s="96">
        <f>SUM(G43:G44)</f>
        <v>700800</v>
      </c>
    </row>
    <row r="43" spans="1:9">
      <c r="A43" s="74" t="s">
        <v>195</v>
      </c>
      <c r="B43" s="178"/>
      <c r="C43" s="18" t="s">
        <v>117</v>
      </c>
      <c r="D43" s="23">
        <f>6200+46100</f>
        <v>52300</v>
      </c>
      <c r="E43" s="20">
        <f t="shared" si="1"/>
        <v>2500</v>
      </c>
      <c r="F43" s="21">
        <v>300</v>
      </c>
      <c r="G43" s="21">
        <f>5000+44800</f>
        <v>49800</v>
      </c>
    </row>
    <row r="44" spans="1:9">
      <c r="A44" s="74" t="s">
        <v>196</v>
      </c>
      <c r="B44" s="178"/>
      <c r="C44" s="18" t="s">
        <v>333</v>
      </c>
      <c r="D44" s="23">
        <f>551000+100000</f>
        <v>651000</v>
      </c>
      <c r="E44" s="20">
        <f>D44-G44</f>
        <v>0</v>
      </c>
      <c r="F44" s="21"/>
      <c r="G44" s="21">
        <f>551000+100000</f>
        <v>651000</v>
      </c>
    </row>
    <row r="45" spans="1:9">
      <c r="A45" s="7" t="s">
        <v>197</v>
      </c>
      <c r="B45" s="80"/>
      <c r="C45" s="107" t="s">
        <v>142</v>
      </c>
      <c r="D45" s="27">
        <f>SUM(D42+D38+D36+D30+D27+D21+D14)</f>
        <v>22314900</v>
      </c>
      <c r="E45" s="27">
        <f>SUM(E42+E38+E36+E30+E27+E21+E14)</f>
        <v>21064100</v>
      </c>
      <c r="F45" s="27">
        <f>SUM(F42+F38+F36+F30+F27+F21+F14)</f>
        <v>10216100</v>
      </c>
      <c r="G45" s="27">
        <f>SUM(G42+G38+G36+G30+G27+G21+G14)</f>
        <v>1250800</v>
      </c>
    </row>
    <row r="46" spans="1:9">
      <c r="A46" s="143" t="s">
        <v>365</v>
      </c>
      <c r="B46" s="143"/>
      <c r="C46" s="143"/>
      <c r="D46" s="143"/>
      <c r="E46" s="143"/>
      <c r="F46" s="143"/>
      <c r="G46" s="143"/>
    </row>
    <row r="47" spans="1:9">
      <c r="A47" s="47"/>
      <c r="B47" s="47"/>
      <c r="C47" s="47"/>
      <c r="D47" s="47"/>
      <c r="E47" s="47"/>
      <c r="F47" s="47"/>
      <c r="G47" s="47"/>
    </row>
    <row r="48" spans="1:9">
      <c r="A48" s="47"/>
      <c r="B48" s="47"/>
      <c r="C48" s="47"/>
      <c r="D48" s="47"/>
      <c r="E48" s="47"/>
      <c r="F48" s="47"/>
      <c r="G48" s="47"/>
    </row>
    <row r="49" spans="1:7">
      <c r="A49" s="47"/>
      <c r="B49" s="47"/>
      <c r="C49" s="47"/>
      <c r="D49" s="47"/>
      <c r="E49" s="47"/>
      <c r="F49" s="47"/>
      <c r="G49" s="47"/>
    </row>
    <row r="50" spans="1:7">
      <c r="A50" s="47"/>
      <c r="B50" s="47"/>
      <c r="C50" s="47"/>
      <c r="D50" s="47"/>
      <c r="E50" s="47"/>
      <c r="F50" s="47"/>
      <c r="G50" s="47"/>
    </row>
  </sheetData>
  <mergeCells count="23">
    <mergeCell ref="B42:B44"/>
    <mergeCell ref="B14:B20"/>
    <mergeCell ref="B21:B26"/>
    <mergeCell ref="B27:B29"/>
    <mergeCell ref="B30:B35"/>
    <mergeCell ref="B36:B37"/>
    <mergeCell ref="B38:B41"/>
    <mergeCell ref="C9:C12"/>
    <mergeCell ref="D9:G9"/>
    <mergeCell ref="D10:D12"/>
    <mergeCell ref="E10:G10"/>
    <mergeCell ref="E11:F11"/>
    <mergeCell ref="G11:G12"/>
    <mergeCell ref="A46:G46"/>
    <mergeCell ref="E1:G1"/>
    <mergeCell ref="E2:G2"/>
    <mergeCell ref="E3:G3"/>
    <mergeCell ref="E4:G4"/>
    <mergeCell ref="A6:G7"/>
    <mergeCell ref="D8:E8"/>
    <mergeCell ref="F8:G8"/>
    <mergeCell ref="A9:A12"/>
    <mergeCell ref="B9:B12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 pr.pajamos</vt:lpstr>
      <vt:lpstr>3 pr.kitos spec. tiksl. dot.</vt:lpstr>
      <vt:lpstr>7 pr. savivaldybės</vt:lpstr>
      <vt:lpstr>8 pr. asignav. valdytojus</vt:lpstr>
      <vt:lpstr>10 pr. bendros išlaidos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2017-03-31T08:06:16Z</cp:lastPrinted>
  <dcterms:created xsi:type="dcterms:W3CDTF">2011-02-01T07:14:51Z</dcterms:created>
  <dcterms:modified xsi:type="dcterms:W3CDTF">2017-04-03T07:48:43Z</dcterms:modified>
</cp:coreProperties>
</file>