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7515" windowHeight="5130" firstSheet="1" activeTab="5"/>
  </bookViews>
  <sheets>
    <sheet name="1 pr.pajamos" sheetId="22" r:id="rId1"/>
    <sheet name="2 pr. deleg." sheetId="29" r:id="rId2"/>
    <sheet name="3 pr.kitos spec. tiksl. dot." sheetId="20" r:id="rId3"/>
    <sheet name="6 pr. savivaldybės" sheetId="17" r:id="rId4"/>
    <sheet name="7 pr. asignav. valdytojus" sheetId="6" r:id="rId5"/>
    <sheet name="9 pr. bendros išlaidos" sheetId="15" r:id="rId6"/>
  </sheets>
  <calcPr calcId="125725"/>
</workbook>
</file>

<file path=xl/calcChain.xml><?xml version="1.0" encoding="utf-8"?>
<calcChain xmlns="http://schemas.openxmlformats.org/spreadsheetml/2006/main">
  <c r="F31" i="15"/>
  <c r="D31"/>
  <c r="E51" i="6"/>
  <c r="E48"/>
  <c r="E99"/>
  <c r="C51"/>
  <c r="F56" i="29"/>
  <c r="C49" i="22"/>
  <c r="C28"/>
  <c r="C24"/>
  <c r="C27"/>
  <c r="G15" i="15"/>
  <c r="F19" i="6"/>
  <c r="H21" i="17"/>
  <c r="E56" i="29"/>
  <c r="C25" i="22"/>
  <c r="D43" i="15"/>
  <c r="E43"/>
  <c r="E41"/>
  <c r="F95" i="6"/>
  <c r="C95"/>
  <c r="C48"/>
  <c r="C99"/>
  <c r="E30" i="20"/>
  <c r="E39" i="15"/>
  <c r="F48" i="6"/>
  <c r="D98"/>
  <c r="C64"/>
  <c r="C69"/>
  <c r="C66"/>
  <c r="C65"/>
  <c r="C70"/>
  <c r="C67"/>
  <c r="E53" i="17"/>
  <c r="E57"/>
  <c r="E55"/>
  <c r="E54"/>
  <c r="E59"/>
  <c r="F59"/>
  <c r="E58"/>
  <c r="G31" i="20"/>
  <c r="G26"/>
  <c r="F28"/>
  <c r="F27"/>
  <c r="F26"/>
  <c r="F31"/>
  <c r="H27"/>
  <c r="H26"/>
  <c r="H31"/>
  <c r="G27"/>
  <c r="E27"/>
  <c r="E26"/>
  <c r="E31"/>
  <c r="F24" i="15"/>
  <c r="D32"/>
  <c r="D97" i="6"/>
  <c r="F20" i="20"/>
  <c r="G20"/>
  <c r="G19"/>
  <c r="H20"/>
  <c r="E20"/>
  <c r="G21"/>
  <c r="F21"/>
  <c r="E21"/>
  <c r="C29" i="22"/>
  <c r="D27" i="15"/>
  <c r="D22"/>
  <c r="D23"/>
  <c r="D24"/>
  <c r="C73" i="6"/>
  <c r="C59"/>
  <c r="E70" i="17"/>
  <c r="F70"/>
  <c r="F68"/>
  <c r="F60"/>
  <c r="E47"/>
  <c r="F16" i="20"/>
  <c r="G16"/>
  <c r="H16"/>
  <c r="E16"/>
  <c r="G42" i="15"/>
  <c r="D42"/>
  <c r="G38"/>
  <c r="D38"/>
  <c r="D35"/>
  <c r="D34"/>
  <c r="F32"/>
  <c r="F23"/>
  <c r="D19"/>
  <c r="D96" i="6"/>
  <c r="E52"/>
  <c r="C52"/>
  <c r="D52"/>
  <c r="C90"/>
  <c r="C92"/>
  <c r="C94"/>
  <c r="C91"/>
  <c r="C85"/>
  <c r="C83"/>
  <c r="C47"/>
  <c r="E47"/>
  <c r="E46"/>
  <c r="C46"/>
  <c r="C24"/>
  <c r="C29"/>
  <c r="C14"/>
  <c r="E98" i="17"/>
  <c r="E99"/>
  <c r="E94"/>
  <c r="E93"/>
  <c r="E96"/>
  <c r="E95"/>
  <c r="E90"/>
  <c r="E89"/>
  <c r="H103"/>
  <c r="E103"/>
  <c r="F30" i="20"/>
  <c r="G18"/>
  <c r="E18"/>
  <c r="G17"/>
  <c r="E17"/>
  <c r="F17"/>
  <c r="G22"/>
  <c r="E19"/>
  <c r="C50" i="22"/>
  <c r="C40" i="6"/>
  <c r="E67" i="17"/>
  <c r="F34" i="15"/>
  <c r="G34"/>
  <c r="E35"/>
  <c r="E34"/>
  <c r="D87" i="6"/>
  <c r="D67"/>
  <c r="D50"/>
  <c r="D51"/>
  <c r="D53"/>
  <c r="D54"/>
  <c r="D55"/>
  <c r="D56"/>
  <c r="D57"/>
  <c r="D58"/>
  <c r="D59"/>
  <c r="D60"/>
  <c r="D61"/>
  <c r="D62"/>
  <c r="D63"/>
  <c r="D64"/>
  <c r="D65"/>
  <c r="D66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8"/>
  <c r="D89"/>
  <c r="D90"/>
  <c r="D91"/>
  <c r="D92"/>
  <c r="D93"/>
  <c r="D94"/>
  <c r="D95"/>
  <c r="D48"/>
  <c r="D49"/>
  <c r="F71" i="17"/>
  <c r="F72"/>
  <c r="F73"/>
  <c r="F74"/>
  <c r="F69"/>
  <c r="F58"/>
  <c r="E36"/>
  <c r="G24" i="20"/>
  <c r="G23"/>
  <c r="H24"/>
  <c r="H23"/>
  <c r="E24"/>
  <c r="E23"/>
  <c r="F25"/>
  <c r="F24"/>
  <c r="F23"/>
  <c r="E29"/>
  <c r="H19"/>
  <c r="H102" i="17"/>
  <c r="E15"/>
  <c r="G15"/>
  <c r="H15"/>
  <c r="H29" i="20"/>
  <c r="D40" i="6"/>
  <c r="D29" i="15"/>
  <c r="E15"/>
  <c r="D21"/>
  <c r="F14"/>
  <c r="G21"/>
  <c r="D18" i="6"/>
  <c r="E36" i="29"/>
  <c r="E76" i="17"/>
  <c r="E75"/>
  <c r="C39" i="22"/>
  <c r="D17" i="6"/>
  <c r="D24"/>
  <c r="D25"/>
  <c r="H94" i="17"/>
  <c r="H93"/>
  <c r="H104"/>
  <c r="F44"/>
  <c r="D34" i="6"/>
  <c r="D27"/>
  <c r="H76" i="17"/>
  <c r="H75"/>
  <c r="E88"/>
  <c r="E87"/>
  <c r="F70" i="29"/>
  <c r="F99" i="6"/>
  <c r="D33"/>
  <c r="F35" i="17"/>
  <c r="D37" i="15"/>
  <c r="D14"/>
  <c r="E38"/>
  <c r="D36" i="6"/>
  <c r="F63" i="17"/>
  <c r="F18" i="20"/>
  <c r="D21" i="6"/>
  <c r="F26" i="17"/>
  <c r="F18"/>
  <c r="G14" i="20"/>
  <c r="F15"/>
  <c r="F14"/>
  <c r="E50" i="29"/>
  <c r="E49"/>
  <c r="E72"/>
  <c r="E70"/>
  <c r="E66"/>
  <c r="H66"/>
  <c r="G66"/>
  <c r="F50"/>
  <c r="F49"/>
  <c r="F72"/>
  <c r="H50"/>
  <c r="G50"/>
  <c r="H49"/>
  <c r="G49"/>
  <c r="H40"/>
  <c r="G40"/>
  <c r="F40"/>
  <c r="F32"/>
  <c r="E40"/>
  <c r="H38"/>
  <c r="G38"/>
  <c r="F38"/>
  <c r="E38"/>
  <c r="H36"/>
  <c r="G36"/>
  <c r="F36"/>
  <c r="H33"/>
  <c r="G33"/>
  <c r="F33"/>
  <c r="E33"/>
  <c r="G31"/>
  <c r="G30"/>
  <c r="G29"/>
  <c r="G28"/>
  <c r="G27"/>
  <c r="G26"/>
  <c r="G25"/>
  <c r="G24"/>
  <c r="G23"/>
  <c r="G22"/>
  <c r="G21"/>
  <c r="G20"/>
  <c r="G19"/>
  <c r="G18"/>
  <c r="G17"/>
  <c r="H16"/>
  <c r="E16"/>
  <c r="D41" i="15"/>
  <c r="D45"/>
  <c r="D23" i="6"/>
  <c r="F42" i="17"/>
  <c r="F29" i="15"/>
  <c r="E30"/>
  <c r="F67" i="17"/>
  <c r="E32" i="15"/>
  <c r="D38" i="6"/>
  <c r="D14"/>
  <c r="E46" i="17"/>
  <c r="E41"/>
  <c r="E104"/>
  <c r="F16"/>
  <c r="F81"/>
  <c r="F38"/>
  <c r="E16" i="15"/>
  <c r="G14"/>
  <c r="E17"/>
  <c r="E18"/>
  <c r="E19"/>
  <c r="E20"/>
  <c r="E22"/>
  <c r="F21"/>
  <c r="E24"/>
  <c r="G26"/>
  <c r="E27"/>
  <c r="E28"/>
  <c r="F26"/>
  <c r="G29"/>
  <c r="E31"/>
  <c r="E33"/>
  <c r="E36"/>
  <c r="F37"/>
  <c r="F45"/>
  <c r="E40"/>
  <c r="E37"/>
  <c r="G37"/>
  <c r="F41"/>
  <c r="G41"/>
  <c r="E42"/>
  <c r="D15" i="6"/>
  <c r="D16"/>
  <c r="D20"/>
  <c r="D22"/>
  <c r="D26"/>
  <c r="D28"/>
  <c r="D31"/>
  <c r="D32"/>
  <c r="D35"/>
  <c r="D37"/>
  <c r="D39"/>
  <c r="D41"/>
  <c r="D42"/>
  <c r="D43"/>
  <c r="D44"/>
  <c r="D46"/>
  <c r="D47"/>
  <c r="F17" i="17"/>
  <c r="F19"/>
  <c r="F20"/>
  <c r="F21"/>
  <c r="F22"/>
  <c r="F23"/>
  <c r="F24"/>
  <c r="F25"/>
  <c r="F27"/>
  <c r="F28"/>
  <c r="F29"/>
  <c r="F30"/>
  <c r="F31"/>
  <c r="F32"/>
  <c r="F33"/>
  <c r="F34"/>
  <c r="F37"/>
  <c r="F39"/>
  <c r="F40"/>
  <c r="F43"/>
  <c r="F45"/>
  <c r="G46"/>
  <c r="G41"/>
  <c r="H46"/>
  <c r="H41"/>
  <c r="F47"/>
  <c r="F48"/>
  <c r="F49"/>
  <c r="F50"/>
  <c r="F51"/>
  <c r="F52"/>
  <c r="F53"/>
  <c r="F54"/>
  <c r="F55"/>
  <c r="F56"/>
  <c r="F57"/>
  <c r="F62"/>
  <c r="F64"/>
  <c r="F65"/>
  <c r="F66"/>
  <c r="G68"/>
  <c r="G60"/>
  <c r="H68"/>
  <c r="H60"/>
  <c r="G76"/>
  <c r="G75"/>
  <c r="F78"/>
  <c r="F79"/>
  <c r="F80"/>
  <c r="F82"/>
  <c r="F83"/>
  <c r="F84"/>
  <c r="F85"/>
  <c r="F86"/>
  <c r="G88"/>
  <c r="G87"/>
  <c r="H88"/>
  <c r="H87"/>
  <c r="F90"/>
  <c r="F91"/>
  <c r="F92"/>
  <c r="G94"/>
  <c r="G93"/>
  <c r="F96"/>
  <c r="F97"/>
  <c r="F98"/>
  <c r="F99"/>
  <c r="F94"/>
  <c r="F93"/>
  <c r="F100"/>
  <c r="F101"/>
  <c r="E102"/>
  <c r="G102"/>
  <c r="H14" i="20"/>
  <c r="G29"/>
  <c r="C12" i="22"/>
  <c r="C11"/>
  <c r="C15"/>
  <c r="C14"/>
  <c r="C20"/>
  <c r="C35"/>
  <c r="C43"/>
  <c r="C46"/>
  <c r="C33"/>
  <c r="D26" i="15"/>
  <c r="E23"/>
  <c r="D19" i="6"/>
  <c r="D99"/>
  <c r="D29"/>
  <c r="D45"/>
  <c r="D30"/>
  <c r="E44" i="15"/>
  <c r="F95" i="17"/>
  <c r="F89"/>
  <c r="F77"/>
  <c r="F76"/>
  <c r="F75"/>
  <c r="F61"/>
  <c r="E25" i="15"/>
  <c r="F103" i="17"/>
  <c r="F102"/>
  <c r="E14" i="20"/>
  <c r="F29"/>
  <c r="G32" i="29"/>
  <c r="H32"/>
  <c r="H72"/>
  <c r="F66"/>
  <c r="G16"/>
  <c r="G72"/>
  <c r="E32"/>
  <c r="G104" i="17"/>
  <c r="F36"/>
  <c r="F15"/>
  <c r="F104"/>
  <c r="F88"/>
  <c r="F87"/>
  <c r="E29" i="15"/>
  <c r="E26"/>
  <c r="G45"/>
  <c r="E21"/>
  <c r="E14"/>
  <c r="E68" i="17"/>
  <c r="E60"/>
  <c r="F22" i="20"/>
  <c r="F19"/>
  <c r="F46" i="17"/>
  <c r="F41"/>
  <c r="E45" i="15"/>
</calcChain>
</file>

<file path=xl/comments1.xml><?xml version="1.0" encoding="utf-8"?>
<comments xmlns="http://schemas.openxmlformats.org/spreadsheetml/2006/main">
  <authors>
    <author>-</author>
  </authors>
  <commentList>
    <comment ref="A44" authorId="0">
      <text>
        <r>
          <rPr>
            <b/>
            <sz val="8"/>
            <color indexed="81"/>
            <rFont val="Tahoma"/>
            <family val="2"/>
            <charset val="186"/>
          </rPr>
          <t>-:</t>
        </r>
        <r>
          <rPr>
            <sz val="8"/>
            <color indexed="81"/>
            <rFont val="Tahoma"/>
            <family val="2"/>
            <charset val="186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<sst xmlns="http://schemas.openxmlformats.org/spreadsheetml/2006/main" count="975" uniqueCount="412">
  <si>
    <t>Eil.Nr.</t>
  </si>
  <si>
    <t>Programos Nr.</t>
  </si>
  <si>
    <t>Funkcinis kodas</t>
  </si>
  <si>
    <t>Iš viso</t>
  </si>
  <si>
    <t>Iš jų:</t>
  </si>
  <si>
    <t>2</t>
  </si>
  <si>
    <t>4</t>
  </si>
  <si>
    <t>Prienų rajono savivaldybės tarybos</t>
  </si>
  <si>
    <t>darbo užmokesčiui</t>
  </si>
  <si>
    <t>02</t>
  </si>
  <si>
    <t>01</t>
  </si>
  <si>
    <t>Ugdymo kokybės ir mokymosi aplinkos užtikrinimo programa</t>
  </si>
  <si>
    <t>Prienų ,,Žiburio“ gimnazija</t>
  </si>
  <si>
    <t>Prienų r. Išlaužo pagrindinė mokykla</t>
  </si>
  <si>
    <t>Prienų lopšelis-darželis ,,Gintarėlis“</t>
  </si>
  <si>
    <t>Prienų lopšelis-darželis ,,Pasaka“</t>
  </si>
  <si>
    <t>Socialinės paramos ir sveikatos apsaugos paslaugų kokybės gerinimo programa</t>
  </si>
  <si>
    <t>Prienų rajono savivaldybės socialinių paslaugų centras</t>
  </si>
  <si>
    <t>Prienų rajono savivaldybės administracija</t>
  </si>
  <si>
    <t>04</t>
  </si>
  <si>
    <t>Savivaldybės pagrindinių funkcijų vykdymo ir valdymo tobulinimo programa</t>
  </si>
  <si>
    <t>Prienų rajono priešgaisrinė tarnyba</t>
  </si>
  <si>
    <t>05</t>
  </si>
  <si>
    <t>02.01</t>
  </si>
  <si>
    <t>02.02</t>
  </si>
  <si>
    <t>02.03</t>
  </si>
  <si>
    <t>04.01</t>
  </si>
  <si>
    <t>04.02</t>
  </si>
  <si>
    <t>05.01</t>
  </si>
  <si>
    <t>01.01</t>
  </si>
  <si>
    <t>01.02</t>
  </si>
  <si>
    <t>01.03</t>
  </si>
  <si>
    <t>01.04</t>
  </si>
  <si>
    <t>01.05</t>
  </si>
  <si>
    <t>01.06</t>
  </si>
  <si>
    <t>01.07</t>
  </si>
  <si>
    <t>01.08</t>
  </si>
  <si>
    <t>01.09</t>
  </si>
  <si>
    <t>01.10</t>
  </si>
  <si>
    <t>01.11</t>
  </si>
  <si>
    <t>01.12</t>
  </si>
  <si>
    <t>01.13</t>
  </si>
  <si>
    <t>01.14</t>
  </si>
  <si>
    <t>01.15</t>
  </si>
  <si>
    <t>01.16</t>
  </si>
  <si>
    <t>01.17</t>
  </si>
  <si>
    <t>01.18</t>
  </si>
  <si>
    <t>01.19</t>
  </si>
  <si>
    <t>______________________</t>
  </si>
  <si>
    <t>Programa / Asignavimų valdytojas</t>
  </si>
  <si>
    <t>ilgalaikiam turtui</t>
  </si>
  <si>
    <t>01.21</t>
  </si>
  <si>
    <t>Prienų meno mokykla</t>
  </si>
  <si>
    <t>03</t>
  </si>
  <si>
    <t>Prienų krašto muziejus</t>
  </si>
  <si>
    <t>Jiezno kultūros ir laisvalaikio centras</t>
  </si>
  <si>
    <t>Veiverių kultūros ir laisvalaikio centras</t>
  </si>
  <si>
    <t>03.01</t>
  </si>
  <si>
    <t>03.02</t>
  </si>
  <si>
    <t>03.03</t>
  </si>
  <si>
    <t>03.04</t>
  </si>
  <si>
    <t>03.05</t>
  </si>
  <si>
    <t>03.06</t>
  </si>
  <si>
    <t>03.07</t>
  </si>
  <si>
    <t>Savivaldybės biudžeto asignavimai</t>
  </si>
  <si>
    <t>Prienų r. sav. kūno kultūros ir sporto centras</t>
  </si>
  <si>
    <t>04.03</t>
  </si>
  <si>
    <t>04.04</t>
  </si>
  <si>
    <t>Prienų rajono savivaldybės administracija:</t>
  </si>
  <si>
    <t xml:space="preserve">09 </t>
  </si>
  <si>
    <t>09</t>
  </si>
  <si>
    <t>10</t>
  </si>
  <si>
    <t>03.08</t>
  </si>
  <si>
    <t>Prienų kultūros ir laisvalaikio centras</t>
  </si>
  <si>
    <t>08</t>
  </si>
  <si>
    <t>06</t>
  </si>
  <si>
    <t>07</t>
  </si>
  <si>
    <t>Savivaldybės administracija</t>
  </si>
  <si>
    <t>Investicijų programa</t>
  </si>
  <si>
    <t>07.01</t>
  </si>
  <si>
    <t>06.01</t>
  </si>
  <si>
    <t>Jiezno vaikų globos namai</t>
  </si>
  <si>
    <t>Prienų globos namai</t>
  </si>
  <si>
    <t>Eil. Nr.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</si>
  <si>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</si>
  <si>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</si>
  <si>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</si>
  <si>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</si>
  <si>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</si>
  <si>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</si>
  <si>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</si>
  <si>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</si>
  <si>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</si>
  <si>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</si>
  <si>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</si>
  <si>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</si>
  <si>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</si>
  <si>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</si>
  <si>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</si>
  <si>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</si>
  <si>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</si>
  <si>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</si>
  <si>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</si>
  <si>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</si>
  <si>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</si>
  <si>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</si>
  <si>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</si>
  <si>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</si>
  <si>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</si>
  <si>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</si>
  <si>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</si>
  <si>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Aplinkos apsaugos, verslo rėmimo ir kaimo plėtros programa</t>
  </si>
  <si>
    <t>Programa / Finansavimo šaltiniai</t>
  </si>
  <si>
    <t>Biudžeto lėšos</t>
  </si>
  <si>
    <t>Mokinio krepšeliui finansuoti</t>
  </si>
  <si>
    <t>Valstybinėms funkcijoms atlikti</t>
  </si>
  <si>
    <t>Biudžetinių įstaigų pajamos</t>
  </si>
  <si>
    <t>Asignavimų valdytojas</t>
  </si>
  <si>
    <t>savivaldos institucijos</t>
  </si>
  <si>
    <t>savivaldybės administracija</t>
  </si>
  <si>
    <t>biudžetinės įstaigos pajamos</t>
  </si>
  <si>
    <t>investicijų programa</t>
  </si>
  <si>
    <t>Prienų r. sav. socialinių paslaugų centras</t>
  </si>
  <si>
    <t>Prienų lopšelis-darželis ,,Saulutė“</t>
  </si>
  <si>
    <t>jaunimo veiklos aktyvinimas</t>
  </si>
  <si>
    <t>kultūros paveldo objektų tvarkymas</t>
  </si>
  <si>
    <t>nekilnojamojo turto įteisinimas</t>
  </si>
  <si>
    <t>socialinio būsto atnaujinimas ir plėtra</t>
  </si>
  <si>
    <t>išlaidoms</t>
  </si>
  <si>
    <t>iš viso</t>
  </si>
  <si>
    <t>Asignavimai</t>
  </si>
  <si>
    <t>teritorijų planavimas</t>
  </si>
  <si>
    <t>smulkaus ir vidutinio verslo subjektų rėmimas</t>
  </si>
  <si>
    <t>viešosios tvarkos užtikrinimas ir prevencija</t>
  </si>
  <si>
    <t>mero fondas</t>
  </si>
  <si>
    <t xml:space="preserve">mero fondas </t>
  </si>
  <si>
    <t>02.04</t>
  </si>
  <si>
    <t>Balbieriškio kultūros ir laisvalaikio centras</t>
  </si>
  <si>
    <t>Iš viso asignavimų</t>
  </si>
  <si>
    <t>3 priedas</t>
  </si>
  <si>
    <t>9 priedas</t>
  </si>
  <si>
    <t>7 priedas</t>
  </si>
  <si>
    <t>I.</t>
  </si>
  <si>
    <t>MOKESČIAI:</t>
  </si>
  <si>
    <t>Pajamų ir pelno mokesčiai iš viso:</t>
  </si>
  <si>
    <t>1.1.</t>
  </si>
  <si>
    <t>gyventojų pajamų mokestis (gautas iš VMI)</t>
  </si>
  <si>
    <t>1.2.</t>
  </si>
  <si>
    <t>1.3.</t>
  </si>
  <si>
    <t>2.1.</t>
  </si>
  <si>
    <t>žemės mokestis, iš jų:</t>
  </si>
  <si>
    <t>2.2.</t>
  </si>
  <si>
    <t>fizinių asmenų</t>
  </si>
  <si>
    <t>2.3.</t>
  </si>
  <si>
    <t>juridinių asmenų</t>
  </si>
  <si>
    <t>paveldimo turto mokestis</t>
  </si>
  <si>
    <t>nekilnojamojo turto mokestis</t>
  </si>
  <si>
    <t>Prekių ir paslaugų mokesčiai:</t>
  </si>
  <si>
    <t>3.1.</t>
  </si>
  <si>
    <t>mokestis už aplinkos teršimą</t>
  </si>
  <si>
    <t>3.2.</t>
  </si>
  <si>
    <t>valstybės rinkliavos</t>
  </si>
  <si>
    <t>3.3.</t>
  </si>
  <si>
    <t>vietinės rinkliavos</t>
  </si>
  <si>
    <t>II.</t>
  </si>
  <si>
    <t>valstybinėms (perduotoms savivaldybėms) funkcijoms atlikti</t>
  </si>
  <si>
    <t>mokinio krepšeliui finansuoti</t>
  </si>
  <si>
    <t>kita tikslinė dotacija</t>
  </si>
  <si>
    <t>III.</t>
  </si>
  <si>
    <t>KITOS PAJAMOS:</t>
  </si>
  <si>
    <t>nuomos mokestis už valstybinę žemę ir valstybinius vidaus vandenų telkinius</t>
  </si>
  <si>
    <t>mokesčiai už valstybinius gamtos išteklius</t>
  </si>
  <si>
    <t>mokestis už medžiojamųjų gyvūnų išteklius</t>
  </si>
  <si>
    <t>Pajamos už prekes ir paslaugas:</t>
  </si>
  <si>
    <t>įmokos už išlaikymą švietimo, socialinės apsaugos ir kitose įstaigose</t>
  </si>
  <si>
    <t>Pajamos iš baudų ir konfiskacijos:</t>
  </si>
  <si>
    <t>pajamos iš baudų ir konfiskacijos</t>
  </si>
  <si>
    <t>Kitos neišvardintos pajamos</t>
  </si>
  <si>
    <t>Ilgalaikio materialiojo turto realizavimo pajamos:</t>
  </si>
  <si>
    <t>žemės ir žemės gelmių išteklių realizavimo pajamos</t>
  </si>
  <si>
    <t>kito ilgalaikio materialiojo turto realizavimo pajamos</t>
  </si>
  <si>
    <t>IV.</t>
  </si>
  <si>
    <t>IŠ VISO PAJAMŲ</t>
  </si>
  <si>
    <t>___________________________</t>
  </si>
  <si>
    <t>Pajamų pavadinimas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</si>
  <si>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</si>
  <si>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</si>
  <si>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</si>
  <si>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</si>
  <si>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</si>
  <si>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</si>
  <si>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</si>
  <si>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</si>
  <si>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</si>
  <si>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</si>
  <si>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</si>
  <si>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</si>
  <si>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</si>
  <si>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</si>
  <si>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</si>
  <si>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</si>
  <si>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</si>
  <si>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</si>
  <si>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</si>
  <si>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</si>
  <si>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</si>
  <si>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</si>
  <si>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</si>
  <si>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</si>
  <si>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</si>
  <si>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</si>
  <si>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</si>
  <si>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</si>
  <si>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</si>
  <si>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</si>
  <si>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</si>
  <si>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</si>
  <si>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</si>
  <si>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</si>
  <si>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</si>
  <si>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</si>
  <si>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</si>
  <si>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</si>
  <si>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</si>
  <si>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</si>
  <si>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</si>
  <si>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</si>
  <si>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</si>
  <si>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</si>
  <si>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</si>
  <si>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</si>
  <si>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</si>
  <si>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</si>
  <si>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77.</t>
  </si>
  <si>
    <t>2.1.1.</t>
  </si>
  <si>
    <t>2.1.2.</t>
  </si>
  <si>
    <t>Prienų r. sav. visuomenės sveikatos biuras</t>
  </si>
  <si>
    <t>Stakliškių kultūros ir laisvalaikio centras</t>
  </si>
  <si>
    <t>Prienų r. sav. kontrolės ir audito tarnyba</t>
  </si>
  <si>
    <t>Prienų r. sav. administracijos Finansų skyrius</t>
  </si>
  <si>
    <t>Viešosios infrastruktūros ir priežiūros plėtros programa</t>
  </si>
  <si>
    <r>
      <t>Turto mokesčiai</t>
    </r>
    <r>
      <rPr>
        <sz val="10"/>
        <rFont val="Times New Roman"/>
        <family val="1"/>
        <charset val="186"/>
      </rPr>
      <t>:</t>
    </r>
  </si>
  <si>
    <t>Prienų r. sav. priešgaisrinė tarnyba</t>
  </si>
  <si>
    <t>Prienų Justino Marcinkevičiaus viešoji biblioteka</t>
  </si>
  <si>
    <t xml:space="preserve"> </t>
  </si>
  <si>
    <t>76.</t>
  </si>
  <si>
    <t>78.</t>
  </si>
  <si>
    <t>Prienų r. Veiverių Antano Kučingio meno mokykla</t>
  </si>
  <si>
    <t>Prienų r. Jiezno gimnazija</t>
  </si>
  <si>
    <t>Prienų r. Veiverių Tomo Žilinsko gimnazija</t>
  </si>
  <si>
    <t>Prienų r. Naujosios Ūtos pagrindinė mokykla</t>
  </si>
  <si>
    <t>Prienų r. Pakuonio pagrindinė mokykla</t>
  </si>
  <si>
    <t>Prienų r. Skriaudžių pagrindinė mokykla</t>
  </si>
  <si>
    <t>Prienų r. Jiezno muzikos mokykla</t>
  </si>
  <si>
    <t>79.</t>
  </si>
  <si>
    <t>80.</t>
  </si>
  <si>
    <t>81.</t>
  </si>
  <si>
    <t>savivaldybės administracija (perduotos)</t>
  </si>
  <si>
    <t>Prienų r. Balbieriškio pagrindinė mokykla</t>
  </si>
  <si>
    <t>savivaldos institucija (taryba)</t>
  </si>
  <si>
    <t>V.</t>
  </si>
  <si>
    <t>Praėjusių metų biudžeto pajamos</t>
  </si>
  <si>
    <t>Prienų r. Stakliškių gimnazija</t>
  </si>
  <si>
    <t>Prienų ,,Ąžuolo“ progimnazija</t>
  </si>
  <si>
    <t>Prienų ,,Revuonos “ pagrindinė mokykla</t>
  </si>
  <si>
    <t>Prienų r. Šilavoto pagrindinė mokykla</t>
  </si>
  <si>
    <t>(eurais)</t>
  </si>
  <si>
    <t>Prienų ,,Revuonos“ pagrindinė mokykla</t>
  </si>
  <si>
    <t>Kultūros, sporto, jaunimo ir bendruomenių veiklos aktyvinimo programa</t>
  </si>
  <si>
    <t>neformalusis švietimas</t>
  </si>
  <si>
    <t>socialinės pašalpos</t>
  </si>
  <si>
    <t>vadybinės ir pedagoginės veiklos kokybės tobulinimas</t>
  </si>
  <si>
    <t>vaikų socializacija</t>
  </si>
  <si>
    <t>gabių mokinių rėmimas ir skatinimas</t>
  </si>
  <si>
    <t>studijų rėmimas</t>
  </si>
  <si>
    <t>suteiktų priėmimo-skubios pagalbos paslaugų dalinis finansavimas</t>
  </si>
  <si>
    <t>visuomenės sveikatos rėmimas (protezavimas)</t>
  </si>
  <si>
    <t>socialinis rėmimas</t>
  </si>
  <si>
    <t>socialinis rėmimas (paštas)</t>
  </si>
  <si>
    <t>lovų išlaikymas ligoninėse</t>
  </si>
  <si>
    <t>vaikų išlaikymas globos įstaigose</t>
  </si>
  <si>
    <t xml:space="preserve">kompensacijų mokėjimas </t>
  </si>
  <si>
    <t>lengvatinis neįgaliųjų vežimas</t>
  </si>
  <si>
    <t>įvaizdžio kūrimas ir valdymas</t>
  </si>
  <si>
    <t>kūno kultūros ir sporto populiarinimas, sporto ir jaunimo organizacijų, asociacijų, religinių bendruomenių ir bendrijų rėmimas</t>
  </si>
  <si>
    <t>rajono kultūros plėtra</t>
  </si>
  <si>
    <t>turizmo veiklos skatinimas</t>
  </si>
  <si>
    <t>regioninės plėtros veiklų įgyvendinimas</t>
  </si>
  <si>
    <t>nuostolių dengimas</t>
  </si>
  <si>
    <t>aplinkos apsaugos specialusis rėmimas</t>
  </si>
  <si>
    <t>komunalinių atliekų surinkimas ir tvarkymas</t>
  </si>
  <si>
    <t>82.</t>
  </si>
  <si>
    <t>83.</t>
  </si>
  <si>
    <t>84.</t>
  </si>
  <si>
    <t>85.</t>
  </si>
  <si>
    <t>86.</t>
  </si>
  <si>
    <t>87.</t>
  </si>
  <si>
    <t>daugiabučių namų modernizavimas</t>
  </si>
  <si>
    <t>88.</t>
  </si>
  <si>
    <t>89.</t>
  </si>
  <si>
    <t>komunalinio ūkio objektų priežiūra ir plėtra</t>
  </si>
  <si>
    <t>90.</t>
  </si>
  <si>
    <t>92.</t>
  </si>
  <si>
    <t>93.</t>
  </si>
  <si>
    <t>94.</t>
  </si>
  <si>
    <t>gabių mokinių skatinimas</t>
  </si>
  <si>
    <t>suteiktų priėmimo-skubiosios pagalbos paslaugų dalinis finansavimas</t>
  </si>
  <si>
    <t>nevyriausybinių organizacijų rėmimas ir būstų pritaikymas neįgaliesiems</t>
  </si>
  <si>
    <t>socialinis rėmimas (pašto išlaidos)</t>
  </si>
  <si>
    <t>kompensacijų mokėjimas</t>
  </si>
  <si>
    <t>Kitos tikslinės dotacijos</t>
  </si>
  <si>
    <t>Europos Sąjungos finansinė parama</t>
  </si>
  <si>
    <t>Kita tikslinė dotacija</t>
  </si>
  <si>
    <t>95.</t>
  </si>
  <si>
    <t xml:space="preserve">Pajamos </t>
  </si>
  <si>
    <t>,</t>
  </si>
  <si>
    <t>nevyriausybinių organizacijų rėmimas ir neįgaliųjų būsto pritaikymas</t>
  </si>
  <si>
    <t>1 priedas</t>
  </si>
  <si>
    <t>Palūkanos už depozitus</t>
  </si>
  <si>
    <t>4.1.</t>
  </si>
  <si>
    <t>6.1.</t>
  </si>
  <si>
    <t>6.2.</t>
  </si>
  <si>
    <t>suaugusių asmenų išlaikymas globos įstaigose</t>
  </si>
  <si>
    <t>neįgaliųjų draugijos autobuso išlaikymas</t>
  </si>
  <si>
    <t>vietinės reikšmės kelių (gatvių) rekonstravimas, plėtra ir priežiūra (netinkamos išlaidos)</t>
  </si>
  <si>
    <t>kelių programos netinkamos išlaidos</t>
  </si>
  <si>
    <t>direktoriaus rezervas</t>
  </si>
  <si>
    <t>IR VALSTYBĖS KAPITALO INVESTICIJOS</t>
  </si>
  <si>
    <t>Nuomos pajamos:</t>
  </si>
  <si>
    <t>________________________</t>
  </si>
  <si>
    <t>2 priedas</t>
  </si>
  <si>
    <t>SAVIVALDYBĖMS) FUNKCIJOMS ATLIKTI</t>
  </si>
  <si>
    <t>Valstybinėms (perduotoms savivaldybėms) funkcijoms</t>
  </si>
  <si>
    <t>maitinimui</t>
  </si>
  <si>
    <t>10.4.1.40.</t>
  </si>
  <si>
    <t>Socialinių paslaugų asmenims su negalia plėtra</t>
  </si>
  <si>
    <t>10.01.02.02.</t>
  </si>
  <si>
    <t>Darbas su rizikos šeimomis</t>
  </si>
  <si>
    <t>10.04.01.01.</t>
  </si>
  <si>
    <t>Prienų rajono visuomenės sveikatos biuras</t>
  </si>
  <si>
    <t>Visuomenės sveikatos stiprinimas</t>
  </si>
  <si>
    <t>Socialinių paslaugų asmenims su negalia plėtros administravimas</t>
  </si>
  <si>
    <t>Parama mirties atveju</t>
  </si>
  <si>
    <t>10.03.01.01.</t>
  </si>
  <si>
    <t>Socialinė parama mokiniams</t>
  </si>
  <si>
    <t>10.04.01.40.</t>
  </si>
  <si>
    <t xml:space="preserve">Mokinių socialinės paramos administravimas </t>
  </si>
  <si>
    <t>Neveiksnių asmenų būklės peržiūrėjimui užtikrinti</t>
  </si>
  <si>
    <t>07.06.01.02.</t>
  </si>
  <si>
    <t>Archyvinių dokumentų tvarkymas</t>
  </si>
  <si>
    <t>01.03.03.02.</t>
  </si>
  <si>
    <t>Civilinės būklės aktų registravimas</t>
  </si>
  <si>
    <t>01.06.01.02.</t>
  </si>
  <si>
    <t>Civilinės saugos organizavimas</t>
  </si>
  <si>
    <t>02.02.01.01.</t>
  </si>
  <si>
    <t>Valstybinės kalbos vartojimo ir taisyklingumo kontrolė</t>
  </si>
  <si>
    <t>Mobilizacijos administravimas</t>
  </si>
  <si>
    <t>02.01.01.04.</t>
  </si>
  <si>
    <t>Vaikų teisių apsauga</t>
  </si>
  <si>
    <t>10.09.01.01.</t>
  </si>
  <si>
    <t>Jaunimo teisių apsauga</t>
  </si>
  <si>
    <t>Pirminė teisinė pagalba</t>
  </si>
  <si>
    <t>Duomenų teikimas Valstybės suteiktos pagalbos registrui</t>
  </si>
  <si>
    <t>Gyventojų registro tvarkymas ir duomenų valstybės registrui teikimas</t>
  </si>
  <si>
    <t>Gyvenamosios vietos deklaravimas</t>
  </si>
  <si>
    <t xml:space="preserve">Valstybinės žemės ir kito valstybinio turto valdymas, naudojimas ir disponavimas patikėjimo teise </t>
  </si>
  <si>
    <t>Žemės ūkio funkcijoms vykdyti</t>
  </si>
  <si>
    <t>04.02.01.04.</t>
  </si>
  <si>
    <t>Melioracijai ir dirvoms kalkinti</t>
  </si>
  <si>
    <t>04.02.01.01.</t>
  </si>
  <si>
    <t>03.02.01.01.</t>
  </si>
  <si>
    <t>10.05.01.01.</t>
  </si>
  <si>
    <t>06.02</t>
  </si>
  <si>
    <t>06.03</t>
  </si>
  <si>
    <t>Darbo rinkos politikos rengimas ir įgyvendinimas</t>
  </si>
  <si>
    <t>6 priedas</t>
  </si>
  <si>
    <t>SPECIALIOJI TIKSLINĖ DOTACIJA, IŠ JOS:</t>
  </si>
  <si>
    <t>Prienų švietimo pagalbos tarnyba</t>
  </si>
  <si>
    <t>96.</t>
  </si>
  <si>
    <t>07.04.01.02.</t>
  </si>
  <si>
    <t>PRIENŲ RAJONO SAVIVALDYBĖS 2018 METŲ BIUDŽETO PAJAMŲ PLANAS</t>
  </si>
  <si>
    <t>pajamos už ilgalaikio ir trumpalaikio materialinio turto nuomą</t>
  </si>
  <si>
    <t>biudžetinių įstaigų pajamos už prekes ir paslaugas</t>
  </si>
  <si>
    <t>06.04</t>
  </si>
  <si>
    <t xml:space="preserve">PRIENŲ RAJONO SAVIVALDYBĖS 2018 METŲ BIUDŽETO LĖŠOS VALSTYBINĖMS (PERDUOTOMS                                                   SAVIVALDYBEI) FUNKCIJOMS ATLIKTI </t>
  </si>
  <si>
    <t xml:space="preserve">PRIENŲ RAJONO SAVIVALDYBĖS 2018 METŲ KITA TIKSLINĖ DOTACIJA                                                                                                                                    </t>
  </si>
  <si>
    <t>PRIENŲ RAJONO SAVIVALDYBĖS 2018 METŲ BIUDŽETO IŠLAIDOS SAVARANKIŠKOSIOMS FUNKCIJOMS VYKDYTI PAGAL ASIGNAVIMŲ VALDYTOJUS</t>
  </si>
  <si>
    <t>01.20.</t>
  </si>
  <si>
    <t>vaikų globėjų išlaidos</t>
  </si>
  <si>
    <t xml:space="preserve">PRIENŲ RAJONO SAVIVALDYBĖS 2018 METŲ BIUDŽETO IŠLAIDOS                                                                                                                PAGAL  PROGRAMAS IR FINANSAVIMO ŠALTINIUS </t>
  </si>
  <si>
    <t xml:space="preserve">PRIENŲ RAJONO SAVIVALDYBĖS 2018 METŲ BIUDŽETO IŠLAIDOS                                                                                        PAGAL ASIGNAVIMŲ VALDYTOJUS </t>
  </si>
  <si>
    <t>savivaldybės teritorijoje susidarančių asbesto turinčių gaminių atliekų surinkimas</t>
  </si>
  <si>
    <t>Paramos mirties atveju administravimas</t>
  </si>
  <si>
    <t>savivaldybės pastatų remontas, priežiūra ir plėtra</t>
  </si>
  <si>
    <t>tarpinstitucinio bendradarbiavimo koordinatoriaus pareigybė</t>
  </si>
  <si>
    <t>kaimo plėtros rėmimas</t>
  </si>
  <si>
    <t>VI.</t>
  </si>
  <si>
    <t>Paskolos</t>
  </si>
  <si>
    <t>būsto nuomos mokesčio daliai kompensuoti</t>
  </si>
  <si>
    <t>10.07.01.01.</t>
  </si>
  <si>
    <t>dotacija savivaldybėms iš Europos Sąjungos lėšų einamiesiems tikslams</t>
  </si>
  <si>
    <t>Europos Sąjungos finansinės paramos lėšos einamiesiems tikslams</t>
  </si>
  <si>
    <t>Europos Sąjungos finansinės paramos lėšos turtui įsigyti</t>
  </si>
  <si>
    <t>Europos Sąjungos finansinės paramos lėšos, iš jų:</t>
  </si>
  <si>
    <t>afrikinio kiaulių maro organizavimo išlaidoms padengti</t>
  </si>
  <si>
    <t>Būsto nuomos mokesčio daliai kompensuoti</t>
  </si>
  <si>
    <t>2018 m. balandžio 26 d.</t>
  </si>
  <si>
    <t>vietinės reikšmės kelių (gatvių) rekonstravimas, plėtra ir priežiūra</t>
  </si>
  <si>
    <t>DOTACIJA SAVIVALDYBEI IŠ EUROPOS SĄJUNGOS</t>
  </si>
  <si>
    <t>VII.</t>
  </si>
  <si>
    <t>sprendimo Nr. T3-113</t>
  </si>
  <si>
    <t>sprendimo Nr.T3-113</t>
  </si>
</sst>
</file>

<file path=xl/styles.xml><?xml version="1.0" encoding="utf-8"?>
<styleSheet xmlns="http://schemas.openxmlformats.org/spreadsheetml/2006/main">
  <numFmts count="2">
    <numFmt numFmtId="164" formatCode="_-* #,##0.00\ &quot;Lt&quot;_-;\-* #,##0.00\ &quot;Lt&quot;_-;_-* &quot;-&quot;??\ &quot;Lt&quot;_-;_-@_-"/>
    <numFmt numFmtId="165" formatCode="0.0"/>
  </numFmts>
  <fonts count="10">
    <font>
      <sz val="10"/>
      <name val="Arial"/>
      <charset val="186"/>
    </font>
    <font>
      <sz val="10"/>
      <name val="Arial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8"/>
      <color indexed="81"/>
      <name val="Tahoma"/>
      <family val="2"/>
      <charset val="186"/>
    </font>
    <font>
      <sz val="8"/>
      <color indexed="81"/>
      <name val="Tahoma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1">
    <xf numFmtId="0" fontId="0" fillId="0" borderId="0" xfId="0"/>
    <xf numFmtId="0" fontId="2" fillId="0" borderId="0" xfId="0" applyFont="1" applyFill="1"/>
    <xf numFmtId="49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165" fontId="2" fillId="0" borderId="4" xfId="0" applyNumberFormat="1" applyFont="1" applyFill="1" applyBorder="1" applyAlignment="1">
      <alignment wrapText="1"/>
    </xf>
    <xf numFmtId="165" fontId="2" fillId="0" borderId="1" xfId="0" applyNumberFormat="1" applyFont="1" applyFill="1" applyBorder="1" applyAlignment="1">
      <alignment horizontal="right"/>
    </xf>
    <xf numFmtId="165" fontId="2" fillId="0" borderId="5" xfId="0" applyNumberFormat="1" applyFont="1" applyFill="1" applyBorder="1" applyAlignment="1">
      <alignment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right" vertical="center" wrapText="1"/>
    </xf>
    <xf numFmtId="49" fontId="3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/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 wrapText="1"/>
    </xf>
    <xf numFmtId="1" fontId="2" fillId="2" borderId="1" xfId="0" applyNumberFormat="1" applyFont="1" applyFill="1" applyBorder="1" applyAlignment="1">
      <alignment horizontal="right"/>
    </xf>
    <xf numFmtId="165" fontId="3" fillId="0" borderId="4" xfId="0" applyNumberFormat="1" applyFont="1" applyFill="1" applyBorder="1" applyAlignment="1">
      <alignment wrapText="1"/>
    </xf>
    <xf numFmtId="1" fontId="2" fillId="0" borderId="1" xfId="0" applyNumberFormat="1" applyFont="1" applyFill="1" applyBorder="1" applyAlignment="1">
      <alignment horizontal="right"/>
    </xf>
    <xf numFmtId="1" fontId="2" fillId="0" borderId="2" xfId="0" applyNumberFormat="1" applyFont="1" applyFill="1" applyBorder="1" applyAlignment="1">
      <alignment horizontal="right"/>
    </xf>
    <xf numFmtId="1" fontId="2" fillId="2" borderId="1" xfId="0" applyNumberFormat="1" applyFont="1" applyFill="1" applyBorder="1" applyAlignment="1">
      <alignment horizontal="right" vertical="top"/>
    </xf>
    <xf numFmtId="165" fontId="2" fillId="2" borderId="1" xfId="0" applyNumberFormat="1" applyFont="1" applyFill="1" applyBorder="1" applyAlignment="1">
      <alignment horizontal="right" vertical="top"/>
    </xf>
    <xf numFmtId="1" fontId="3" fillId="0" borderId="1" xfId="0" applyNumberFormat="1" applyFont="1" applyFill="1" applyBorder="1" applyAlignment="1">
      <alignment horizontal="right"/>
    </xf>
    <xf numFmtId="1" fontId="2" fillId="0" borderId="1" xfId="0" applyNumberFormat="1" applyFont="1" applyFill="1" applyBorder="1" applyAlignment="1">
      <alignment horizontal="right" vertical="top"/>
    </xf>
    <xf numFmtId="165" fontId="2" fillId="0" borderId="1" xfId="0" applyNumberFormat="1" applyFont="1" applyFill="1" applyBorder="1" applyAlignment="1">
      <alignment horizontal="right" vertical="top"/>
    </xf>
    <xf numFmtId="1" fontId="3" fillId="2" borderId="1" xfId="0" applyNumberFormat="1" applyFont="1" applyFill="1" applyBorder="1" applyAlignment="1">
      <alignment horizontal="right" vertical="top"/>
    </xf>
    <xf numFmtId="49" fontId="3" fillId="0" borderId="1" xfId="0" applyNumberFormat="1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/>
    </xf>
    <xf numFmtId="49" fontId="3" fillId="0" borderId="0" xfId="0" applyNumberFormat="1" applyFont="1" applyFill="1" applyAlignment="1">
      <alignment horizontal="center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vertical="top" wrapText="1"/>
    </xf>
    <xf numFmtId="49" fontId="2" fillId="0" borderId="1" xfId="0" applyNumberFormat="1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49" fontId="2" fillId="0" borderId="3" xfId="0" applyNumberFormat="1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/>
    </xf>
    <xf numFmtId="49" fontId="2" fillId="0" borderId="2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right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49" fontId="2" fillId="0" borderId="0" xfId="0" applyNumberFormat="1" applyFont="1" applyFill="1" applyAlignment="1">
      <alignment horizontal="right"/>
    </xf>
    <xf numFmtId="49" fontId="2" fillId="0" borderId="1" xfId="0" applyNumberFormat="1" applyFont="1" applyFill="1" applyBorder="1" applyAlignment="1">
      <alignment horizontal="right"/>
    </xf>
    <xf numFmtId="49" fontId="2" fillId="0" borderId="3" xfId="0" applyNumberFormat="1" applyFont="1" applyFill="1" applyBorder="1" applyAlignment="1">
      <alignment horizontal="center"/>
    </xf>
    <xf numFmtId="49" fontId="3" fillId="0" borderId="3" xfId="0" applyNumberFormat="1" applyFont="1" applyFill="1" applyBorder="1" applyAlignment="1">
      <alignment horizontal="center"/>
    </xf>
    <xf numFmtId="0" fontId="2" fillId="0" borderId="0" xfId="0" applyFont="1"/>
    <xf numFmtId="49" fontId="3" fillId="0" borderId="0" xfId="0" applyNumberFormat="1" applyFont="1" applyFill="1" applyAlignment="1">
      <alignment wrapText="1"/>
    </xf>
    <xf numFmtId="165" fontId="3" fillId="0" borderId="2" xfId="0" applyNumberFormat="1" applyFont="1" applyFill="1" applyBorder="1" applyAlignment="1">
      <alignment wrapText="1"/>
    </xf>
    <xf numFmtId="49" fontId="2" fillId="0" borderId="7" xfId="0" applyNumberFormat="1" applyFont="1" applyFill="1" applyBorder="1" applyAlignment="1">
      <alignment horizontal="center" vertical="top"/>
    </xf>
    <xf numFmtId="165" fontId="2" fillId="0" borderId="5" xfId="0" applyNumberFormat="1" applyFont="1" applyFill="1" applyBorder="1" applyAlignment="1">
      <alignment horizontal="left" wrapText="1"/>
    </xf>
    <xf numFmtId="1" fontId="2" fillId="2" borderId="6" xfId="0" applyNumberFormat="1" applyFont="1" applyFill="1" applyBorder="1" applyAlignment="1">
      <alignment horizontal="right"/>
    </xf>
    <xf numFmtId="49" fontId="4" fillId="0" borderId="3" xfId="0" applyNumberFormat="1" applyFont="1" applyFill="1" applyBorder="1" applyAlignment="1">
      <alignment horizontal="center" vertical="top"/>
    </xf>
    <xf numFmtId="1" fontId="4" fillId="0" borderId="1" xfId="0" applyNumberFormat="1" applyFont="1" applyFill="1" applyBorder="1" applyAlignment="1">
      <alignment horizontal="right"/>
    </xf>
    <xf numFmtId="165" fontId="4" fillId="0" borderId="4" xfId="0" applyNumberFormat="1" applyFont="1" applyFill="1" applyBorder="1" applyAlignment="1">
      <alignment wrapText="1"/>
    </xf>
    <xf numFmtId="165" fontId="4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right" vertical="top"/>
    </xf>
    <xf numFmtId="49" fontId="4" fillId="0" borderId="3" xfId="0" applyNumberFormat="1" applyFont="1" applyFill="1" applyBorder="1" applyAlignment="1">
      <alignment horizontal="center"/>
    </xf>
    <xf numFmtId="165" fontId="2" fillId="0" borderId="4" xfId="0" applyNumberFormat="1" applyFont="1" applyFill="1" applyBorder="1" applyAlignment="1">
      <alignment vertical="top" wrapText="1"/>
    </xf>
    <xf numFmtId="1" fontId="4" fillId="2" borderId="1" xfId="0" applyNumberFormat="1" applyFont="1" applyFill="1" applyBorder="1" applyAlignment="1">
      <alignment horizontal="right"/>
    </xf>
    <xf numFmtId="49" fontId="3" fillId="0" borderId="2" xfId="0" applyNumberFormat="1" applyFont="1" applyFill="1" applyBorder="1" applyAlignment="1">
      <alignment horizontal="center" vertical="top"/>
    </xf>
    <xf numFmtId="1" fontId="3" fillId="2" borderId="1" xfId="0" applyNumberFormat="1" applyFont="1" applyFill="1" applyBorder="1" applyAlignment="1">
      <alignment horizontal="right"/>
    </xf>
    <xf numFmtId="49" fontId="3" fillId="0" borderId="2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165" fontId="4" fillId="2" borderId="1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right" vertical="center" wrapText="1"/>
    </xf>
    <xf numFmtId="49" fontId="3" fillId="0" borderId="0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/>
    </xf>
    <xf numFmtId="49" fontId="3" fillId="0" borderId="10" xfId="0" applyNumberFormat="1" applyFont="1" applyFill="1" applyBorder="1" applyAlignment="1">
      <alignment horizontal="center" vertical="center" wrapText="1"/>
    </xf>
    <xf numFmtId="165" fontId="3" fillId="0" borderId="6" xfId="0" applyNumberFormat="1" applyFont="1" applyFill="1" applyBorder="1" applyAlignment="1">
      <alignment wrapText="1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top" wrapText="1"/>
    </xf>
    <xf numFmtId="1" fontId="3" fillId="0" borderId="1" xfId="0" applyNumberFormat="1" applyFont="1" applyFill="1" applyBorder="1" applyAlignment="1">
      <alignment horizontal="right" vertical="top"/>
    </xf>
    <xf numFmtId="49" fontId="4" fillId="0" borderId="2" xfId="0" applyNumberFormat="1" applyFont="1" applyFill="1" applyBorder="1" applyAlignment="1">
      <alignment horizontal="center" vertical="top"/>
    </xf>
    <xf numFmtId="1" fontId="4" fillId="2" borderId="1" xfId="0" applyNumberFormat="1" applyFont="1" applyFill="1" applyBorder="1" applyAlignment="1">
      <alignment horizontal="right" vertical="top"/>
    </xf>
    <xf numFmtId="165" fontId="4" fillId="2" borderId="1" xfId="0" applyNumberFormat="1" applyFont="1" applyFill="1" applyBorder="1" applyAlignment="1">
      <alignment horizontal="right" vertical="top"/>
    </xf>
    <xf numFmtId="49" fontId="3" fillId="0" borderId="1" xfId="0" applyNumberFormat="1" applyFont="1" applyFill="1" applyBorder="1" applyAlignment="1">
      <alignment horizontal="center" vertical="top" wrapText="1"/>
    </xf>
    <xf numFmtId="0" fontId="6" fillId="0" borderId="0" xfId="0" applyFont="1"/>
    <xf numFmtId="165" fontId="4" fillId="0" borderId="2" xfId="0" applyNumberFormat="1" applyFont="1" applyFill="1" applyBorder="1" applyAlignment="1">
      <alignment wrapText="1"/>
    </xf>
    <xf numFmtId="1" fontId="4" fillId="0" borderId="2" xfId="0" applyNumberFormat="1" applyFont="1" applyFill="1" applyBorder="1" applyAlignment="1">
      <alignment horizontal="right" vertical="top"/>
    </xf>
    <xf numFmtId="0" fontId="7" fillId="0" borderId="0" xfId="0" applyFont="1"/>
    <xf numFmtId="0" fontId="3" fillId="0" borderId="6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right" vertical="center" wrapText="1"/>
    </xf>
    <xf numFmtId="1" fontId="3" fillId="0" borderId="2" xfId="0" applyNumberFormat="1" applyFont="1" applyFill="1" applyBorder="1" applyAlignment="1">
      <alignment horizontal="right"/>
    </xf>
    <xf numFmtId="1" fontId="3" fillId="2" borderId="2" xfId="0" applyNumberFormat="1" applyFont="1" applyFill="1" applyBorder="1" applyAlignment="1">
      <alignment horizontal="right"/>
    </xf>
    <xf numFmtId="1" fontId="3" fillId="0" borderId="2" xfId="0" applyNumberFormat="1" applyFont="1" applyFill="1" applyBorder="1" applyAlignment="1">
      <alignment horizontal="right" vertical="top"/>
    </xf>
    <xf numFmtId="49" fontId="4" fillId="0" borderId="2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right" vertical="top" wrapText="1"/>
    </xf>
    <xf numFmtId="1" fontId="4" fillId="0" borderId="6" xfId="0" applyNumberFormat="1" applyFont="1" applyFill="1" applyBorder="1" applyAlignment="1">
      <alignment horizontal="right" vertical="top"/>
    </xf>
    <xf numFmtId="1" fontId="2" fillId="2" borderId="6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top"/>
    </xf>
    <xf numFmtId="49" fontId="2" fillId="0" borderId="2" xfId="0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right"/>
    </xf>
    <xf numFmtId="0" fontId="2" fillId="0" borderId="4" xfId="0" applyFont="1" applyFill="1" applyBorder="1" applyAlignment="1">
      <alignment horizontal="right"/>
    </xf>
    <xf numFmtId="0" fontId="2" fillId="0" borderId="4" xfId="0" applyFont="1" applyFill="1" applyBorder="1" applyAlignment="1"/>
    <xf numFmtId="0" fontId="3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justify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 wrapText="1"/>
    </xf>
    <xf numFmtId="165" fontId="2" fillId="0" borderId="4" xfId="0" applyNumberFormat="1" applyFont="1" applyFill="1" applyBorder="1" applyAlignment="1">
      <alignment horizontal="left" wrapText="1"/>
    </xf>
    <xf numFmtId="49" fontId="2" fillId="0" borderId="11" xfId="0" applyNumberFormat="1" applyFont="1" applyFill="1" applyBorder="1" applyAlignment="1">
      <alignment horizontal="center" vertical="top"/>
    </xf>
    <xf numFmtId="164" fontId="0" fillId="0" borderId="0" xfId="1" applyFont="1"/>
    <xf numFmtId="0" fontId="4" fillId="0" borderId="0" xfId="0" applyFont="1" applyFill="1" applyAlignment="1">
      <alignment wrapText="1"/>
    </xf>
    <xf numFmtId="49" fontId="3" fillId="0" borderId="11" xfId="0" applyNumberFormat="1" applyFont="1" applyFill="1" applyBorder="1" applyAlignment="1">
      <alignment horizontal="center" vertical="top"/>
    </xf>
    <xf numFmtId="165" fontId="2" fillId="0" borderId="2" xfId="0" applyNumberFormat="1" applyFont="1" applyFill="1" applyBorder="1" applyAlignment="1">
      <alignment wrapText="1"/>
    </xf>
    <xf numFmtId="0" fontId="0" fillId="0" borderId="4" xfId="0" applyBorder="1"/>
    <xf numFmtId="0" fontId="2" fillId="0" borderId="0" xfId="0" applyFont="1" applyAlignment="1">
      <alignment horizontal="right"/>
    </xf>
    <xf numFmtId="1" fontId="2" fillId="0" borderId="6" xfId="0" applyNumberFormat="1" applyFont="1" applyFill="1" applyBorder="1" applyAlignment="1">
      <alignment horizontal="right" vertical="top"/>
    </xf>
    <xf numFmtId="1" fontId="4" fillId="3" borderId="1" xfId="0" applyNumberFormat="1" applyFont="1" applyFill="1" applyBorder="1" applyAlignment="1">
      <alignment horizontal="right" vertical="top"/>
    </xf>
    <xf numFmtId="1" fontId="4" fillId="3" borderId="1" xfId="0" applyNumberFormat="1" applyFont="1" applyFill="1" applyBorder="1" applyAlignment="1">
      <alignment horizontal="right"/>
    </xf>
    <xf numFmtId="1" fontId="2" fillId="2" borderId="4" xfId="0" applyNumberFormat="1" applyFont="1" applyFill="1" applyBorder="1" applyAlignment="1"/>
    <xf numFmtId="1" fontId="2" fillId="2" borderId="2" xfId="0" applyNumberFormat="1" applyFont="1" applyFill="1" applyBorder="1" applyAlignment="1"/>
    <xf numFmtId="0" fontId="3" fillId="2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right" vertical="top" wrapText="1"/>
    </xf>
    <xf numFmtId="165" fontId="4" fillId="0" borderId="1" xfId="0" applyNumberFormat="1" applyFont="1" applyFill="1" applyBorder="1" applyAlignment="1">
      <alignment wrapText="1"/>
    </xf>
    <xf numFmtId="49" fontId="3" fillId="0" borderId="2" xfId="0" applyNumberFormat="1" applyFont="1" applyFill="1" applyBorder="1" applyAlignment="1">
      <alignment horizontal="right" vertical="center" wrapText="1"/>
    </xf>
    <xf numFmtId="1" fontId="2" fillId="0" borderId="6" xfId="0" applyNumberFormat="1" applyFont="1" applyFill="1" applyBorder="1" applyAlignment="1">
      <alignment horizontal="right"/>
    </xf>
    <xf numFmtId="49" fontId="4" fillId="0" borderId="1" xfId="0" applyNumberFormat="1" applyFont="1" applyFill="1" applyBorder="1" applyAlignment="1">
      <alignment horizontal="center" vertical="top"/>
    </xf>
    <xf numFmtId="0" fontId="3" fillId="0" borderId="3" xfId="0" applyFont="1" applyBorder="1" applyAlignment="1">
      <alignment vertical="top" wrapText="1"/>
    </xf>
    <xf numFmtId="165" fontId="4" fillId="0" borderId="4" xfId="0" applyNumberFormat="1" applyFont="1" applyFill="1" applyBorder="1" applyAlignment="1">
      <alignment vertical="top" wrapText="1"/>
    </xf>
    <xf numFmtId="165" fontId="4" fillId="0" borderId="2" xfId="0" applyNumberFormat="1" applyFont="1" applyFill="1" applyBorder="1" applyAlignment="1">
      <alignment vertical="top" wrapText="1"/>
    </xf>
    <xf numFmtId="0" fontId="0" fillId="0" borderId="0" xfId="0" applyAlignment="1">
      <alignment horizontal="center"/>
    </xf>
    <xf numFmtId="1" fontId="4" fillId="0" borderId="1" xfId="0" applyNumberFormat="1" applyFont="1" applyFill="1" applyBorder="1" applyAlignment="1">
      <alignment horizontal="right" vertical="top" wrapText="1"/>
    </xf>
    <xf numFmtId="49" fontId="2" fillId="0" borderId="12" xfId="0" applyNumberFormat="1" applyFont="1" applyFill="1" applyBorder="1" applyAlignment="1">
      <alignment horizontal="center" vertical="top"/>
    </xf>
    <xf numFmtId="0" fontId="2" fillId="0" borderId="0" xfId="0" applyFont="1" applyAlignment="1">
      <alignment horizontal="left"/>
    </xf>
    <xf numFmtId="0" fontId="0" fillId="0" borderId="2" xfId="0" applyBorder="1"/>
    <xf numFmtId="49" fontId="3" fillId="0" borderId="1" xfId="0" applyNumberFormat="1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right" vertical="top"/>
    </xf>
    <xf numFmtId="0" fontId="2" fillId="0" borderId="7" xfId="0" applyFont="1" applyFill="1" applyBorder="1" applyAlignment="1">
      <alignment vertical="top"/>
    </xf>
    <xf numFmtId="165" fontId="4" fillId="0" borderId="4" xfId="0" applyNumberFormat="1" applyFont="1" applyFill="1" applyBorder="1" applyAlignment="1">
      <alignment horizontal="left" wrapText="1"/>
    </xf>
    <xf numFmtId="0" fontId="4" fillId="0" borderId="7" xfId="0" applyFont="1" applyFill="1" applyBorder="1" applyAlignment="1">
      <alignment vertical="top"/>
    </xf>
    <xf numFmtId="165" fontId="2" fillId="2" borderId="1" xfId="0" applyNumberFormat="1" applyFont="1" applyFill="1" applyBorder="1" applyAlignment="1">
      <alignment horizontal="right"/>
    </xf>
    <xf numFmtId="0" fontId="4" fillId="0" borderId="2" xfId="0" applyFont="1" applyFill="1" applyBorder="1" applyAlignment="1"/>
    <xf numFmtId="0" fontId="4" fillId="2" borderId="7" xfId="0" applyFont="1" applyFill="1" applyBorder="1" applyAlignment="1">
      <alignment vertical="top"/>
    </xf>
    <xf numFmtId="0" fontId="0" fillId="0" borderId="2" xfId="0" applyBorder="1" applyAlignment="1">
      <alignment vertical="top"/>
    </xf>
    <xf numFmtId="165" fontId="2" fillId="0" borderId="4" xfId="0" applyNumberFormat="1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vertical="top"/>
    </xf>
    <xf numFmtId="1" fontId="2" fillId="3" borderId="1" xfId="0" applyNumberFormat="1" applyFont="1" applyFill="1" applyBorder="1" applyAlignment="1">
      <alignment horizontal="right" vertical="top"/>
    </xf>
    <xf numFmtId="0" fontId="0" fillId="0" borderId="6" xfId="0" applyBorder="1" applyAlignment="1">
      <alignment vertical="top"/>
    </xf>
    <xf numFmtId="0" fontId="2" fillId="0" borderId="6" xfId="0" applyFont="1" applyFill="1" applyBorder="1" applyAlignment="1">
      <alignment wrapText="1"/>
    </xf>
    <xf numFmtId="0" fontId="2" fillId="0" borderId="6" xfId="0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top"/>
    </xf>
    <xf numFmtId="165" fontId="4" fillId="0" borderId="2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wrapText="1"/>
    </xf>
    <xf numFmtId="0" fontId="4" fillId="0" borderId="3" xfId="0" applyFont="1" applyFill="1" applyBorder="1" applyAlignment="1">
      <alignment horizontal="center"/>
    </xf>
    <xf numFmtId="1" fontId="4" fillId="3" borderId="2" xfId="0" applyNumberFormat="1" applyFont="1" applyFill="1" applyBorder="1" applyAlignment="1">
      <alignment horizontal="right" vertical="top"/>
    </xf>
    <xf numFmtId="165" fontId="2" fillId="3" borderId="1" xfId="0" applyNumberFormat="1" applyFont="1" applyFill="1" applyBorder="1" applyAlignment="1">
      <alignment horizontal="right"/>
    </xf>
    <xf numFmtId="1" fontId="3" fillId="3" borderId="1" xfId="0" applyNumberFormat="1" applyFont="1" applyFill="1" applyBorder="1" applyAlignment="1">
      <alignment horizontal="right" vertical="top"/>
    </xf>
    <xf numFmtId="165" fontId="4" fillId="0" borderId="5" xfId="0" applyNumberFormat="1" applyFont="1" applyFill="1" applyBorder="1" applyAlignment="1">
      <alignment wrapText="1"/>
    </xf>
    <xf numFmtId="0" fontId="2" fillId="0" borderId="12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left" vertical="center" wrapText="1"/>
    </xf>
    <xf numFmtId="49" fontId="4" fillId="0" borderId="6" xfId="0" applyNumberFormat="1" applyFont="1" applyFill="1" applyBorder="1" applyAlignment="1">
      <alignment horizontal="center" vertical="top" wrapText="1"/>
    </xf>
    <xf numFmtId="1" fontId="4" fillId="0" borderId="2" xfId="0" applyNumberFormat="1" applyFont="1" applyFill="1" applyBorder="1" applyAlignment="1">
      <alignment horizontal="right" vertical="center"/>
    </xf>
    <xf numFmtId="1" fontId="4" fillId="3" borderId="2" xfId="0" applyNumberFormat="1" applyFont="1" applyFill="1" applyBorder="1" applyAlignment="1">
      <alignment horizontal="right" vertical="center"/>
    </xf>
    <xf numFmtId="165" fontId="4" fillId="0" borderId="2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 vertical="top" wrapText="1"/>
    </xf>
    <xf numFmtId="165" fontId="4" fillId="0" borderId="1" xfId="0" applyNumberFormat="1" applyFont="1" applyFill="1" applyBorder="1" applyAlignment="1">
      <alignment horizontal="right" vertical="top"/>
    </xf>
    <xf numFmtId="165" fontId="4" fillId="3" borderId="1" xfId="0" applyNumberFormat="1" applyFont="1" applyFill="1" applyBorder="1" applyAlignment="1">
      <alignment horizontal="right"/>
    </xf>
    <xf numFmtId="0" fontId="4" fillId="0" borderId="2" xfId="0" applyFont="1" applyBorder="1"/>
    <xf numFmtId="49" fontId="2" fillId="0" borderId="1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 vertical="top"/>
    </xf>
    <xf numFmtId="1" fontId="2" fillId="3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right" vertical="justify" wrapText="1"/>
    </xf>
    <xf numFmtId="1" fontId="4" fillId="0" borderId="2" xfId="0" applyNumberFormat="1" applyFont="1" applyFill="1" applyBorder="1" applyAlignment="1">
      <alignment horizontal="right" vertical="center" wrapText="1"/>
    </xf>
    <xf numFmtId="1" fontId="4" fillId="0" borderId="2" xfId="0" applyNumberFormat="1" applyFont="1" applyFill="1" applyBorder="1" applyAlignment="1">
      <alignment horizontal="right" vertical="top" wrapText="1"/>
    </xf>
    <xf numFmtId="0" fontId="4" fillId="0" borderId="2" xfId="0" applyFont="1" applyBorder="1" applyAlignment="1">
      <alignment horizontal="justify" vertical="top" wrapText="1"/>
    </xf>
    <xf numFmtId="0" fontId="4" fillId="0" borderId="2" xfId="0" applyFont="1" applyBorder="1" applyAlignment="1">
      <alignment vertical="top" wrapText="1"/>
    </xf>
    <xf numFmtId="0" fontId="4" fillId="3" borderId="2" xfId="0" applyFont="1" applyFill="1" applyBorder="1" applyAlignment="1">
      <alignment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7" xfId="0" applyFont="1" applyFill="1" applyBorder="1" applyAlignment="1">
      <alignment horizontal="center" vertical="top" wrapText="1"/>
    </xf>
    <xf numFmtId="0" fontId="6" fillId="0" borderId="3" xfId="0" applyFont="1" applyBorder="1"/>
    <xf numFmtId="0" fontId="2" fillId="0" borderId="0" xfId="0" applyFont="1" applyFill="1" applyBorder="1" applyAlignment="1">
      <alignment horizontal="right"/>
    </xf>
    <xf numFmtId="49" fontId="3" fillId="0" borderId="0" xfId="0" applyNumberFormat="1" applyFont="1" applyFill="1" applyAlignment="1">
      <alignment horizont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2" fillId="0" borderId="7" xfId="0" applyNumberFormat="1" applyFont="1" applyFill="1" applyBorder="1" applyAlignment="1">
      <alignment horizontal="center" vertical="top"/>
    </xf>
    <xf numFmtId="49" fontId="2" fillId="0" borderId="3" xfId="0" applyNumberFormat="1" applyFont="1" applyFill="1" applyBorder="1" applyAlignment="1">
      <alignment horizontal="center" vertical="top"/>
    </xf>
    <xf numFmtId="49" fontId="2" fillId="0" borderId="12" xfId="0" applyNumberFormat="1" applyFont="1" applyFill="1" applyBorder="1" applyAlignment="1">
      <alignment horizontal="center" vertical="top"/>
    </xf>
    <xf numFmtId="49" fontId="3" fillId="0" borderId="7" xfId="0" applyNumberFormat="1" applyFont="1" applyFill="1" applyBorder="1" applyAlignment="1">
      <alignment horizontal="center" vertical="top" wrapText="1"/>
    </xf>
    <xf numFmtId="49" fontId="3" fillId="0" borderId="12" xfId="0" applyNumberFormat="1" applyFont="1" applyFill="1" applyBorder="1" applyAlignment="1">
      <alignment horizontal="center" vertical="top" wrapText="1"/>
    </xf>
    <xf numFmtId="49" fontId="3" fillId="0" borderId="3" xfId="0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/>
    </xf>
    <xf numFmtId="49" fontId="3" fillId="0" borderId="11" xfId="0" applyNumberFormat="1" applyFont="1" applyFill="1" applyBorder="1" applyAlignment="1">
      <alignment horizontal="center" vertical="top" wrapText="1"/>
    </xf>
    <xf numFmtId="49" fontId="3" fillId="0" borderId="10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3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center" wrapText="1"/>
    </xf>
    <xf numFmtId="0" fontId="3" fillId="0" borderId="13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3" fillId="0" borderId="0" xfId="0" applyNumberFormat="1" applyFont="1" applyFill="1" applyAlignment="1">
      <alignment horizontal="center" vertical="top" wrapText="1"/>
    </xf>
    <xf numFmtId="49" fontId="2" fillId="0" borderId="7" xfId="0" applyNumberFormat="1" applyFont="1" applyFill="1" applyBorder="1" applyAlignment="1">
      <alignment horizontal="center" vertical="top" wrapText="1"/>
    </xf>
    <xf numFmtId="49" fontId="2" fillId="0" borderId="12" xfId="0" applyNumberFormat="1" applyFont="1" applyFill="1" applyBorder="1" applyAlignment="1">
      <alignment horizontal="center" vertical="top" wrapText="1"/>
    </xf>
    <xf numFmtId="49" fontId="2" fillId="0" borderId="3" xfId="0" applyNumberFormat="1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/>
    </xf>
    <xf numFmtId="0" fontId="2" fillId="0" borderId="4" xfId="0" applyFont="1" applyFill="1" applyBorder="1" applyAlignment="1">
      <alignment horizontal="right"/>
    </xf>
    <xf numFmtId="0" fontId="3" fillId="0" borderId="14" xfId="0" applyFont="1" applyFill="1" applyBorder="1" applyAlignment="1">
      <alignment horizontal="center" vertical="top" wrapText="1"/>
    </xf>
    <xf numFmtId="0" fontId="3" fillId="0" borderId="15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top"/>
    </xf>
    <xf numFmtId="49" fontId="3" fillId="0" borderId="7" xfId="0" applyNumberFormat="1" applyFont="1" applyFill="1" applyBorder="1" applyAlignment="1">
      <alignment horizontal="center" vertical="top"/>
    </xf>
    <xf numFmtId="49" fontId="3" fillId="0" borderId="12" xfId="0" applyNumberFormat="1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5"/>
  <sheetViews>
    <sheetView topLeftCell="A40" zoomScale="135" zoomScaleNormal="135" workbookViewId="0">
      <selection activeCell="C50" sqref="C50"/>
    </sheetView>
  </sheetViews>
  <sheetFormatPr defaultRowHeight="12.75"/>
  <cols>
    <col min="1" max="1" width="7.7109375" customWidth="1"/>
    <col min="2" max="2" width="57.7109375" customWidth="1"/>
    <col min="3" max="3" width="28" customWidth="1"/>
    <col min="4" max="4" width="9.42578125" bestFit="1" customWidth="1"/>
  </cols>
  <sheetData>
    <row r="1" spans="1:6" ht="15" customHeight="1">
      <c r="A1" s="47"/>
      <c r="B1" s="47"/>
      <c r="C1" s="35" t="s">
        <v>7</v>
      </c>
      <c r="D1" s="35"/>
      <c r="E1" s="35"/>
      <c r="F1" s="35"/>
    </row>
    <row r="2" spans="1:6" ht="15" customHeight="1">
      <c r="A2" s="47"/>
      <c r="B2" s="47"/>
      <c r="C2" s="35" t="s">
        <v>406</v>
      </c>
      <c r="D2" s="35"/>
      <c r="E2" s="35"/>
      <c r="F2" s="35"/>
    </row>
    <row r="3" spans="1:6" ht="15" customHeight="1">
      <c r="A3" s="47"/>
      <c r="B3" s="47"/>
      <c r="C3" s="35" t="s">
        <v>410</v>
      </c>
      <c r="D3" s="35"/>
      <c r="E3" s="35"/>
      <c r="F3" s="35"/>
    </row>
    <row r="4" spans="1:6" ht="15" customHeight="1">
      <c r="A4" s="47"/>
      <c r="B4" s="47"/>
      <c r="C4" s="16" t="s">
        <v>317</v>
      </c>
      <c r="D4" s="16"/>
      <c r="E4" s="16"/>
      <c r="F4" s="16"/>
    </row>
    <row r="5" spans="1:6" ht="15" customHeight="1">
      <c r="A5" s="47"/>
      <c r="B5" s="47"/>
    </row>
    <row r="6" spans="1:6">
      <c r="A6" s="191" t="s">
        <v>380</v>
      </c>
      <c r="B6" s="191"/>
      <c r="C6" s="191"/>
    </row>
    <row r="7" spans="1:6" ht="15" customHeight="1">
      <c r="A7" s="47"/>
      <c r="B7" s="47"/>
      <c r="C7" s="124" t="s">
        <v>266</v>
      </c>
    </row>
    <row r="8" spans="1:6" ht="15" customHeight="1">
      <c r="A8" s="187" t="s">
        <v>83</v>
      </c>
      <c r="B8" s="187" t="s">
        <v>184</v>
      </c>
      <c r="C8" s="187" t="s">
        <v>314</v>
      </c>
    </row>
    <row r="9" spans="1:6" ht="15" customHeight="1">
      <c r="A9" s="188"/>
      <c r="B9" s="188"/>
      <c r="C9" s="188"/>
    </row>
    <row r="10" spans="1:6" ht="15" customHeight="1">
      <c r="A10" s="189"/>
      <c r="B10" s="189"/>
      <c r="C10" s="189"/>
    </row>
    <row r="11" spans="1:6" ht="15" customHeight="1">
      <c r="A11" s="136" t="s">
        <v>142</v>
      </c>
      <c r="B11" s="136" t="s">
        <v>143</v>
      </c>
      <c r="C11" s="111">
        <f>C12+C14+C20</f>
        <v>14281000</v>
      </c>
    </row>
    <row r="12" spans="1:6" ht="15" customHeight="1">
      <c r="A12" s="111" t="s">
        <v>84</v>
      </c>
      <c r="B12" s="111" t="s">
        <v>144</v>
      </c>
      <c r="C12" s="68">
        <f>SUM(C13:C13)</f>
        <v>12951000</v>
      </c>
    </row>
    <row r="13" spans="1:6" ht="15" customHeight="1">
      <c r="A13" s="68" t="s">
        <v>145</v>
      </c>
      <c r="B13" s="68" t="s">
        <v>146</v>
      </c>
      <c r="C13" s="68">
        <v>12951000</v>
      </c>
    </row>
    <row r="14" spans="1:6" ht="15" customHeight="1">
      <c r="A14" s="111" t="s">
        <v>85</v>
      </c>
      <c r="B14" s="111" t="s">
        <v>241</v>
      </c>
      <c r="C14" s="111">
        <f>SUM(C15+C18+C19)</f>
        <v>637000</v>
      </c>
    </row>
    <row r="15" spans="1:6" ht="15" customHeight="1">
      <c r="A15" s="68" t="s">
        <v>149</v>
      </c>
      <c r="B15" s="68" t="s">
        <v>150</v>
      </c>
      <c r="C15" s="68">
        <f>C17+C16</f>
        <v>300000</v>
      </c>
    </row>
    <row r="16" spans="1:6" ht="15" customHeight="1">
      <c r="A16" s="68" t="s">
        <v>234</v>
      </c>
      <c r="B16" s="185" t="s">
        <v>152</v>
      </c>
      <c r="C16" s="186">
        <v>287000</v>
      </c>
    </row>
    <row r="17" spans="1:3" ht="15" customHeight="1">
      <c r="A17" s="68" t="s">
        <v>235</v>
      </c>
      <c r="B17" s="185" t="s">
        <v>154</v>
      </c>
      <c r="C17" s="186">
        <v>13000</v>
      </c>
    </row>
    <row r="18" spans="1:3" ht="15" customHeight="1">
      <c r="A18" s="68" t="s">
        <v>151</v>
      </c>
      <c r="B18" s="68" t="s">
        <v>155</v>
      </c>
      <c r="C18" s="68">
        <v>7000</v>
      </c>
    </row>
    <row r="19" spans="1:3" ht="15" customHeight="1">
      <c r="A19" s="68" t="s">
        <v>153</v>
      </c>
      <c r="B19" s="68" t="s">
        <v>156</v>
      </c>
      <c r="C19" s="68">
        <v>330000</v>
      </c>
    </row>
    <row r="20" spans="1:3" ht="15" customHeight="1">
      <c r="A20" s="111" t="s">
        <v>86</v>
      </c>
      <c r="B20" s="111" t="s">
        <v>157</v>
      </c>
      <c r="C20" s="111">
        <f>C23+C22+C21</f>
        <v>693000</v>
      </c>
    </row>
    <row r="21" spans="1:3" ht="15" customHeight="1">
      <c r="A21" s="68" t="s">
        <v>158</v>
      </c>
      <c r="B21" s="68" t="s">
        <v>159</v>
      </c>
      <c r="C21" s="68">
        <v>30000</v>
      </c>
    </row>
    <row r="22" spans="1:3" ht="15" customHeight="1">
      <c r="A22" s="68" t="s">
        <v>160</v>
      </c>
      <c r="B22" s="68" t="s">
        <v>161</v>
      </c>
      <c r="C22" s="68">
        <v>33000</v>
      </c>
    </row>
    <row r="23" spans="1:3" ht="15" customHeight="1">
      <c r="A23" s="68" t="s">
        <v>162</v>
      </c>
      <c r="B23" s="68" t="s">
        <v>163</v>
      </c>
      <c r="C23" s="68">
        <v>630000</v>
      </c>
    </row>
    <row r="24" spans="1:3" ht="15" customHeight="1">
      <c r="A24" s="111" t="s">
        <v>164</v>
      </c>
      <c r="B24" s="111" t="s">
        <v>376</v>
      </c>
      <c r="C24" s="111">
        <f>C27+C26+C25</f>
        <v>10430500</v>
      </c>
    </row>
    <row r="25" spans="1:3" ht="15" customHeight="1">
      <c r="A25" s="68" t="s">
        <v>145</v>
      </c>
      <c r="B25" s="112" t="s">
        <v>165</v>
      </c>
      <c r="C25" s="68">
        <f>2080800+400+6800</f>
        <v>2088000</v>
      </c>
    </row>
    <row r="26" spans="1:3" ht="15" customHeight="1">
      <c r="A26" s="68" t="s">
        <v>147</v>
      </c>
      <c r="B26" s="112" t="s">
        <v>166</v>
      </c>
      <c r="C26" s="68">
        <v>5214700</v>
      </c>
    </row>
    <row r="27" spans="1:3" ht="15" customHeight="1">
      <c r="A27" s="68" t="s">
        <v>148</v>
      </c>
      <c r="B27" s="112" t="s">
        <v>167</v>
      </c>
      <c r="C27" s="68">
        <f>781200+253800-1600+500+1008900+1085000</f>
        <v>3127800</v>
      </c>
    </row>
    <row r="28" spans="1:3" ht="15" customHeight="1">
      <c r="A28" s="111" t="s">
        <v>168</v>
      </c>
      <c r="B28" s="113" t="s">
        <v>408</v>
      </c>
      <c r="C28" s="111">
        <f>C29+C32</f>
        <v>248900</v>
      </c>
    </row>
    <row r="29" spans="1:3" ht="15" customHeight="1">
      <c r="A29" s="68" t="s">
        <v>84</v>
      </c>
      <c r="B29" s="113" t="s">
        <v>403</v>
      </c>
      <c r="C29" s="111">
        <f>SUM(C30+C31)</f>
        <v>163800</v>
      </c>
    </row>
    <row r="30" spans="1:3" ht="15" customHeight="1">
      <c r="A30" s="68" t="s">
        <v>145</v>
      </c>
      <c r="B30" s="184" t="s">
        <v>401</v>
      </c>
      <c r="C30" s="185">
        <v>26400</v>
      </c>
    </row>
    <row r="31" spans="1:3" ht="15" customHeight="1">
      <c r="A31" s="68" t="s">
        <v>147</v>
      </c>
      <c r="B31" s="184" t="s">
        <v>402</v>
      </c>
      <c r="C31" s="185">
        <v>137400</v>
      </c>
    </row>
    <row r="32" spans="1:3" ht="15" customHeight="1">
      <c r="A32" s="68" t="s">
        <v>85</v>
      </c>
      <c r="B32" s="112" t="s">
        <v>400</v>
      </c>
      <c r="C32" s="111">
        <v>85100</v>
      </c>
    </row>
    <row r="33" spans="1:9" ht="15" customHeight="1">
      <c r="A33" s="111" t="s">
        <v>181</v>
      </c>
      <c r="B33" s="113" t="s">
        <v>169</v>
      </c>
      <c r="C33" s="111">
        <f>C46+C45+C43+C39+C35+C34</f>
        <v>1517000</v>
      </c>
    </row>
    <row r="34" spans="1:9" ht="15" customHeight="1">
      <c r="A34" s="67" t="s">
        <v>84</v>
      </c>
      <c r="B34" s="113" t="s">
        <v>318</v>
      </c>
      <c r="C34" s="111">
        <v>1000</v>
      </c>
    </row>
    <row r="35" spans="1:9" ht="15" customHeight="1">
      <c r="A35" s="67" t="s">
        <v>85</v>
      </c>
      <c r="B35" s="113" t="s">
        <v>328</v>
      </c>
      <c r="C35" s="111">
        <f>C38+C37+C36</f>
        <v>175000</v>
      </c>
    </row>
    <row r="36" spans="1:9" ht="30" customHeight="1">
      <c r="A36" s="68" t="s">
        <v>149</v>
      </c>
      <c r="B36" s="112" t="s">
        <v>170</v>
      </c>
      <c r="C36" s="68">
        <v>92000</v>
      </c>
    </row>
    <row r="37" spans="1:9" ht="15" customHeight="1">
      <c r="A37" s="68" t="s">
        <v>151</v>
      </c>
      <c r="B37" s="112" t="s">
        <v>171</v>
      </c>
      <c r="C37" s="68">
        <v>70000</v>
      </c>
    </row>
    <row r="38" spans="1:9" ht="15" customHeight="1">
      <c r="A38" s="68" t="s">
        <v>153</v>
      </c>
      <c r="B38" s="112" t="s">
        <v>172</v>
      </c>
      <c r="C38" s="68">
        <v>13000</v>
      </c>
    </row>
    <row r="39" spans="1:9" ht="15" customHeight="1">
      <c r="A39" s="111" t="s">
        <v>86</v>
      </c>
      <c r="B39" s="113" t="s">
        <v>173</v>
      </c>
      <c r="C39" s="111">
        <f>C42+C41+C40</f>
        <v>1305000</v>
      </c>
    </row>
    <row r="40" spans="1:9" ht="15" customHeight="1">
      <c r="A40" s="68" t="s">
        <v>158</v>
      </c>
      <c r="B40" s="68" t="s">
        <v>382</v>
      </c>
      <c r="C40" s="68">
        <v>217000</v>
      </c>
      <c r="I40" t="s">
        <v>315</v>
      </c>
    </row>
    <row r="41" spans="1:9" ht="15" customHeight="1">
      <c r="A41" s="68" t="s">
        <v>160</v>
      </c>
      <c r="B41" s="68" t="s">
        <v>381</v>
      </c>
      <c r="C41" s="68">
        <v>69000</v>
      </c>
    </row>
    <row r="42" spans="1:9" ht="15.75" customHeight="1">
      <c r="A42" s="68" t="s">
        <v>162</v>
      </c>
      <c r="B42" s="68" t="s">
        <v>174</v>
      </c>
      <c r="C42" s="68">
        <v>1019000</v>
      </c>
    </row>
    <row r="43" spans="1:9" ht="15" customHeight="1">
      <c r="A43" s="111" t="s">
        <v>87</v>
      </c>
      <c r="B43" s="111" t="s">
        <v>175</v>
      </c>
      <c r="C43" s="111">
        <f>C44</f>
        <v>8000</v>
      </c>
    </row>
    <row r="44" spans="1:9" ht="15" customHeight="1">
      <c r="A44" s="68" t="s">
        <v>319</v>
      </c>
      <c r="B44" s="68" t="s">
        <v>176</v>
      </c>
      <c r="C44" s="68">
        <v>8000</v>
      </c>
    </row>
    <row r="45" spans="1:9" ht="15" customHeight="1">
      <c r="A45" s="111" t="s">
        <v>88</v>
      </c>
      <c r="B45" s="111" t="s">
        <v>177</v>
      </c>
      <c r="C45" s="111">
        <v>8000</v>
      </c>
    </row>
    <row r="46" spans="1:9" ht="15" customHeight="1">
      <c r="A46" s="111" t="s">
        <v>89</v>
      </c>
      <c r="B46" s="111" t="s">
        <v>178</v>
      </c>
      <c r="C46" s="111">
        <f>C48+C47</f>
        <v>20000</v>
      </c>
    </row>
    <row r="47" spans="1:9" ht="15" customHeight="1">
      <c r="A47" s="68" t="s">
        <v>320</v>
      </c>
      <c r="B47" s="68" t="s">
        <v>179</v>
      </c>
      <c r="C47" s="68">
        <v>6000</v>
      </c>
    </row>
    <row r="48" spans="1:9" ht="15" customHeight="1">
      <c r="A48" s="68" t="s">
        <v>321</v>
      </c>
      <c r="B48" s="68" t="s">
        <v>180</v>
      </c>
      <c r="C48" s="68">
        <v>14000</v>
      </c>
    </row>
    <row r="49" spans="1:4" ht="15" customHeight="1">
      <c r="A49" s="111" t="s">
        <v>260</v>
      </c>
      <c r="B49" s="111" t="s">
        <v>182</v>
      </c>
      <c r="C49" s="111">
        <f>C33+C28+C24+C11</f>
        <v>26477400</v>
      </c>
    </row>
    <row r="50" spans="1:4" ht="15" customHeight="1">
      <c r="A50" s="111" t="s">
        <v>396</v>
      </c>
      <c r="B50" s="111" t="s">
        <v>261</v>
      </c>
      <c r="C50" s="111">
        <f>254000+231900</f>
        <v>485900</v>
      </c>
    </row>
    <row r="51" spans="1:4" ht="15" customHeight="1">
      <c r="A51" s="111" t="s">
        <v>409</v>
      </c>
      <c r="B51" s="111" t="s">
        <v>397</v>
      </c>
      <c r="C51" s="111">
        <v>40100</v>
      </c>
    </row>
    <row r="52" spans="1:4">
      <c r="A52" s="190" t="s">
        <v>183</v>
      </c>
      <c r="B52" s="190"/>
      <c r="C52" s="190"/>
      <c r="D52" s="47"/>
    </row>
    <row r="53" spans="1:4">
      <c r="A53" s="47"/>
      <c r="B53" s="47"/>
    </row>
    <row r="54" spans="1:4">
      <c r="A54" s="47"/>
      <c r="B54" s="47"/>
    </row>
    <row r="55" spans="1:4">
      <c r="A55" s="47"/>
      <c r="B55" s="47"/>
    </row>
    <row r="56" spans="1:4">
      <c r="A56" s="47"/>
      <c r="B56" s="47"/>
    </row>
    <row r="57" spans="1:4">
      <c r="A57" s="47"/>
      <c r="B57" s="47"/>
    </row>
    <row r="58" spans="1:4">
      <c r="A58" s="47"/>
      <c r="B58" s="47"/>
    </row>
    <row r="59" spans="1:4">
      <c r="A59" s="47"/>
      <c r="B59" s="47"/>
    </row>
    <row r="60" spans="1:4">
      <c r="A60" s="47"/>
      <c r="B60" s="47"/>
    </row>
    <row r="61" spans="1:4">
      <c r="A61" s="47"/>
      <c r="B61" s="47"/>
    </row>
    <row r="62" spans="1:4">
      <c r="A62" s="47"/>
      <c r="B62" s="47"/>
    </row>
    <row r="63" spans="1:4">
      <c r="A63" s="47"/>
      <c r="B63" s="47"/>
    </row>
    <row r="64" spans="1:4">
      <c r="A64" s="47"/>
      <c r="B64" s="47"/>
    </row>
    <row r="65" spans="1:2">
      <c r="A65" s="47"/>
      <c r="B65" s="47"/>
    </row>
    <row r="66" spans="1:2">
      <c r="A66" s="47"/>
      <c r="B66" s="47"/>
    </row>
    <row r="67" spans="1:2">
      <c r="A67" s="47"/>
      <c r="B67" s="47"/>
    </row>
    <row r="68" spans="1:2">
      <c r="A68" s="47"/>
      <c r="B68" s="47"/>
    </row>
    <row r="69" spans="1:2">
      <c r="A69" s="47"/>
      <c r="B69" s="47"/>
    </row>
    <row r="70" spans="1:2">
      <c r="A70" s="47"/>
      <c r="B70" s="47"/>
    </row>
    <row r="71" spans="1:2">
      <c r="A71" s="47"/>
      <c r="B71" s="47"/>
    </row>
    <row r="72" spans="1:2">
      <c r="A72" s="47"/>
      <c r="B72" s="47"/>
    </row>
    <row r="73" spans="1:2">
      <c r="A73" s="47"/>
      <c r="B73" s="47"/>
    </row>
    <row r="74" spans="1:2">
      <c r="A74" s="47"/>
      <c r="B74" s="47"/>
    </row>
    <row r="75" spans="1:2">
      <c r="A75" s="47"/>
      <c r="B75" s="47"/>
    </row>
    <row r="76" spans="1:2">
      <c r="A76" s="47"/>
      <c r="B76" s="47"/>
    </row>
    <row r="77" spans="1:2">
      <c r="A77" s="47"/>
      <c r="B77" s="47"/>
    </row>
    <row r="78" spans="1:2">
      <c r="A78" s="47"/>
      <c r="B78" s="47"/>
    </row>
    <row r="79" spans="1:2">
      <c r="A79" s="47"/>
      <c r="B79" s="47"/>
    </row>
    <row r="80" spans="1:2">
      <c r="A80" s="47"/>
      <c r="B80" s="47"/>
    </row>
    <row r="81" spans="1:2">
      <c r="A81" s="47"/>
      <c r="B81" s="47"/>
    </row>
    <row r="82" spans="1:2">
      <c r="A82" s="47"/>
      <c r="B82" s="47"/>
    </row>
    <row r="83" spans="1:2">
      <c r="A83" s="47"/>
      <c r="B83" s="47"/>
    </row>
    <row r="84" spans="1:2">
      <c r="A84" s="47"/>
      <c r="B84" s="47"/>
    </row>
    <row r="85" spans="1:2">
      <c r="A85" s="47"/>
      <c r="B85" s="47"/>
    </row>
    <row r="86" spans="1:2">
      <c r="A86" s="47"/>
      <c r="B86" s="47"/>
    </row>
    <row r="87" spans="1:2">
      <c r="A87" s="47"/>
      <c r="B87" s="47"/>
    </row>
    <row r="88" spans="1:2">
      <c r="A88" s="47"/>
      <c r="B88" s="47"/>
    </row>
    <row r="89" spans="1:2">
      <c r="A89" s="47"/>
      <c r="B89" s="47"/>
    </row>
    <row r="90" spans="1:2">
      <c r="A90" s="47"/>
      <c r="B90" s="47"/>
    </row>
    <row r="91" spans="1:2">
      <c r="A91" s="47"/>
      <c r="B91" s="47"/>
    </row>
    <row r="92" spans="1:2">
      <c r="A92" s="47"/>
      <c r="B92" s="47"/>
    </row>
    <row r="93" spans="1:2">
      <c r="A93" s="47"/>
      <c r="B93" s="47"/>
    </row>
    <row r="94" spans="1:2">
      <c r="A94" s="47"/>
      <c r="B94" s="47"/>
    </row>
    <row r="95" spans="1:2">
      <c r="A95" s="47"/>
      <c r="B95" s="47"/>
    </row>
    <row r="96" spans="1:2">
      <c r="A96" s="47"/>
      <c r="B96" s="47"/>
    </row>
    <row r="97" spans="1:2">
      <c r="A97" s="47"/>
      <c r="B97" s="47"/>
    </row>
    <row r="98" spans="1:2">
      <c r="A98" s="47"/>
      <c r="B98" s="47"/>
    </row>
    <row r="99" spans="1:2">
      <c r="A99" s="47"/>
      <c r="B99" s="47"/>
    </row>
    <row r="100" spans="1:2">
      <c r="A100" s="47"/>
      <c r="B100" s="47"/>
    </row>
    <row r="101" spans="1:2">
      <c r="A101" s="47"/>
      <c r="B101" s="47"/>
    </row>
    <row r="102" spans="1:2">
      <c r="A102" s="47"/>
      <c r="B102" s="47"/>
    </row>
    <row r="103" spans="1:2">
      <c r="A103" s="47"/>
      <c r="B103" s="47"/>
    </row>
    <row r="104" spans="1:2">
      <c r="A104" s="47"/>
      <c r="B104" s="47"/>
    </row>
    <row r="105" spans="1:2">
      <c r="A105" s="47"/>
      <c r="B105" s="47"/>
    </row>
    <row r="106" spans="1:2">
      <c r="A106" s="47"/>
      <c r="B106" s="47"/>
    </row>
    <row r="107" spans="1:2">
      <c r="A107" s="47"/>
      <c r="B107" s="47"/>
    </row>
    <row r="108" spans="1:2">
      <c r="A108" s="47"/>
      <c r="B108" s="47"/>
    </row>
    <row r="109" spans="1:2">
      <c r="A109" s="47"/>
      <c r="B109" s="47"/>
    </row>
    <row r="110" spans="1:2">
      <c r="A110" s="47"/>
      <c r="B110" s="47"/>
    </row>
    <row r="111" spans="1:2">
      <c r="A111" s="47"/>
      <c r="B111" s="47"/>
    </row>
    <row r="112" spans="1:2">
      <c r="A112" s="47"/>
      <c r="B112" s="47"/>
    </row>
    <row r="113" spans="1:2">
      <c r="A113" s="47"/>
      <c r="B113" s="47"/>
    </row>
    <row r="114" spans="1:2">
      <c r="A114" s="47"/>
      <c r="B114" s="47"/>
    </row>
    <row r="115" spans="1:2">
      <c r="A115" s="47"/>
      <c r="B115" s="47"/>
    </row>
  </sheetData>
  <mergeCells count="5">
    <mergeCell ref="C8:C10"/>
    <mergeCell ref="B8:B10"/>
    <mergeCell ref="A8:A10"/>
    <mergeCell ref="A52:C52"/>
    <mergeCell ref="A6:C6"/>
  </mergeCells>
  <phoneticPr fontId="5" type="noConversion"/>
  <pageMargins left="0.98425196850393704" right="0.19685039370078741" top="0.59055118110236227" bottom="0.19685039370078741" header="0" footer="0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K73"/>
  <sheetViews>
    <sheetView zoomScale="135" zoomScaleNormal="135" workbookViewId="0">
      <selection activeCell="E3" sqref="E3:H3"/>
    </sheetView>
  </sheetViews>
  <sheetFormatPr defaultRowHeight="12.75"/>
  <cols>
    <col min="1" max="1" width="3.85546875" customWidth="1"/>
    <col min="2" max="2" width="9.85546875" customWidth="1"/>
    <col min="3" max="3" width="34.5703125" customWidth="1"/>
    <col min="4" max="4" width="10.42578125" customWidth="1"/>
    <col min="5" max="5" width="8.140625" customWidth="1"/>
    <col min="6" max="6" width="10.85546875" customWidth="1"/>
    <col min="7" max="7" width="9.7109375" customWidth="1"/>
    <col min="8" max="8" width="9.85546875" customWidth="1"/>
  </cols>
  <sheetData>
    <row r="1" spans="1:11" ht="14.1" customHeight="1">
      <c r="A1" s="3"/>
      <c r="B1" s="3"/>
      <c r="C1" s="3"/>
      <c r="D1" s="35"/>
      <c r="E1" s="207" t="s">
        <v>7</v>
      </c>
      <c r="F1" s="207"/>
      <c r="G1" s="207"/>
      <c r="H1" s="207"/>
    </row>
    <row r="2" spans="1:11" ht="14.1" customHeight="1">
      <c r="A2" s="3"/>
      <c r="B2" s="3"/>
      <c r="C2" s="3"/>
      <c r="D2" s="34"/>
      <c r="E2" s="207" t="s">
        <v>406</v>
      </c>
      <c r="F2" s="207"/>
      <c r="G2" s="207"/>
      <c r="H2" s="207"/>
    </row>
    <row r="3" spans="1:11" ht="14.1" customHeight="1">
      <c r="A3" s="3"/>
      <c r="B3" s="3"/>
      <c r="C3" s="3"/>
      <c r="D3" s="34"/>
      <c r="E3" s="207" t="s">
        <v>410</v>
      </c>
      <c r="F3" s="207"/>
      <c r="G3" s="207"/>
      <c r="H3" s="207"/>
    </row>
    <row r="4" spans="1:11" ht="14.1" customHeight="1">
      <c r="A4" s="1"/>
      <c r="B4" s="2"/>
      <c r="C4" s="3"/>
      <c r="D4" s="35"/>
      <c r="E4" s="208" t="s">
        <v>330</v>
      </c>
      <c r="F4" s="208"/>
      <c r="G4" s="208"/>
      <c r="H4" s="208"/>
    </row>
    <row r="5" spans="1:11" ht="14.1" customHeight="1">
      <c r="A5" s="1"/>
      <c r="B5" s="2"/>
      <c r="C5" s="16"/>
      <c r="D5" s="16"/>
      <c r="E5" s="142"/>
      <c r="F5" s="142"/>
      <c r="G5" s="142"/>
      <c r="H5" s="142"/>
    </row>
    <row r="6" spans="1:11" ht="14.1" customHeight="1">
      <c r="A6" s="195" t="s">
        <v>384</v>
      </c>
      <c r="B6" s="195"/>
      <c r="C6" s="195"/>
      <c r="D6" s="195"/>
      <c r="E6" s="195"/>
      <c r="F6" s="195"/>
      <c r="G6" s="195"/>
      <c r="H6" s="195"/>
    </row>
    <row r="7" spans="1:11" ht="14.1" customHeight="1">
      <c r="A7" s="195" t="s">
        <v>331</v>
      </c>
      <c r="B7" s="195"/>
      <c r="C7" s="195"/>
      <c r="D7" s="195"/>
      <c r="E7" s="195"/>
      <c r="F7" s="195"/>
      <c r="G7" s="195"/>
      <c r="H7" s="195"/>
    </row>
    <row r="8" spans="1:11" ht="15" customHeight="1">
      <c r="A8" s="48"/>
      <c r="B8" s="48"/>
      <c r="C8" s="48"/>
      <c r="D8" s="48"/>
      <c r="E8" s="48"/>
      <c r="F8" s="48"/>
      <c r="G8" s="48"/>
    </row>
    <row r="9" spans="1:11" ht="12.75" customHeight="1">
      <c r="A9" s="33"/>
      <c r="B9" s="33"/>
      <c r="C9" s="33"/>
      <c r="D9" s="33"/>
      <c r="E9" s="33"/>
      <c r="F9" s="33"/>
      <c r="G9" s="33"/>
      <c r="H9" s="124" t="s">
        <v>266</v>
      </c>
    </row>
    <row r="10" spans="1:11" ht="12.75" customHeight="1">
      <c r="A10" s="1"/>
      <c r="B10" s="2"/>
      <c r="C10" s="3"/>
      <c r="D10" s="43"/>
      <c r="E10" s="194"/>
      <c r="F10" s="194"/>
      <c r="G10" s="194"/>
      <c r="I10" s="48"/>
    </row>
    <row r="11" spans="1:11" ht="12.75" customHeight="1">
      <c r="A11" s="192" t="s">
        <v>0</v>
      </c>
      <c r="B11" s="209" t="s">
        <v>1</v>
      </c>
      <c r="C11" s="192" t="s">
        <v>49</v>
      </c>
      <c r="D11" s="204" t="s">
        <v>2</v>
      </c>
      <c r="E11" s="196" t="s">
        <v>332</v>
      </c>
      <c r="F11" s="197"/>
      <c r="G11" s="197"/>
      <c r="H11" s="198"/>
      <c r="I11" s="33"/>
    </row>
    <row r="12" spans="1:11" ht="12.75" customHeight="1">
      <c r="A12" s="199"/>
      <c r="B12" s="210"/>
      <c r="C12" s="199"/>
      <c r="D12" s="205"/>
      <c r="E12" s="199" t="s">
        <v>3</v>
      </c>
      <c r="F12" s="212" t="s">
        <v>4</v>
      </c>
      <c r="G12" s="213"/>
      <c r="H12" s="192" t="s">
        <v>50</v>
      </c>
    </row>
    <row r="13" spans="1:11" ht="12.75" customHeight="1">
      <c r="A13" s="199"/>
      <c r="B13" s="210"/>
      <c r="C13" s="199"/>
      <c r="D13" s="205"/>
      <c r="E13" s="199"/>
      <c r="F13" s="192" t="s">
        <v>8</v>
      </c>
      <c r="G13" s="192" t="s">
        <v>333</v>
      </c>
      <c r="H13" s="199"/>
    </row>
    <row r="14" spans="1:11" ht="12.75" customHeight="1">
      <c r="A14" s="200"/>
      <c r="B14" s="211"/>
      <c r="C14" s="200"/>
      <c r="D14" s="206"/>
      <c r="E14" s="200"/>
      <c r="F14" s="193"/>
      <c r="G14" s="193"/>
      <c r="H14" s="200"/>
    </row>
    <row r="15" spans="1:11" ht="28.5" customHeight="1">
      <c r="A15" s="5">
        <v>1</v>
      </c>
      <c r="B15" s="6" t="s">
        <v>5</v>
      </c>
      <c r="C15" s="4">
        <v>3</v>
      </c>
      <c r="D15" s="6" t="s">
        <v>6</v>
      </c>
      <c r="E15" s="4">
        <v>5</v>
      </c>
      <c r="F15" s="4">
        <v>6</v>
      </c>
      <c r="G15" s="4">
        <v>7</v>
      </c>
      <c r="H15" s="4">
        <v>8</v>
      </c>
    </row>
    <row r="16" spans="1:11" ht="11.25" customHeight="1">
      <c r="A16" s="37" t="s">
        <v>84</v>
      </c>
      <c r="B16" s="87" t="s">
        <v>10</v>
      </c>
      <c r="C16" s="17" t="s">
        <v>11</v>
      </c>
      <c r="D16" s="42"/>
      <c r="E16" s="82">
        <f>SUM(E17:E31)</f>
        <v>206000</v>
      </c>
      <c r="F16" s="82"/>
      <c r="G16" s="82">
        <f>SUM(G17:G31)</f>
        <v>206000</v>
      </c>
      <c r="H16" s="82">
        <f>SUM(H17:H31)</f>
        <v>0</v>
      </c>
      <c r="K16" s="139"/>
    </row>
    <row r="17" spans="1:8">
      <c r="A17" s="32" t="s">
        <v>85</v>
      </c>
      <c r="B17" s="12" t="s">
        <v>29</v>
      </c>
      <c r="C17" s="18" t="s">
        <v>12</v>
      </c>
      <c r="D17" s="12" t="s">
        <v>334</v>
      </c>
      <c r="E17" s="20">
        <v>11700</v>
      </c>
      <c r="F17" s="20"/>
      <c r="G17" s="20">
        <f>E17</f>
        <v>11700</v>
      </c>
      <c r="H17" s="143"/>
    </row>
    <row r="18" spans="1:8" ht="12.75" customHeight="1">
      <c r="A18" s="32" t="s">
        <v>86</v>
      </c>
      <c r="B18" s="12" t="s">
        <v>30</v>
      </c>
      <c r="C18" s="18" t="s">
        <v>248</v>
      </c>
      <c r="D18" s="12" t="s">
        <v>334</v>
      </c>
      <c r="E18" s="20">
        <v>19800</v>
      </c>
      <c r="F18" s="20"/>
      <c r="G18" s="20">
        <f t="shared" ref="G18:G31" si="0">E18</f>
        <v>19800</v>
      </c>
      <c r="H18" s="143"/>
    </row>
    <row r="19" spans="1:8">
      <c r="A19" s="37" t="s">
        <v>87</v>
      </c>
      <c r="B19" s="42" t="s">
        <v>31</v>
      </c>
      <c r="C19" s="18" t="s">
        <v>262</v>
      </c>
      <c r="D19" s="42" t="s">
        <v>334</v>
      </c>
      <c r="E19" s="41">
        <v>23500</v>
      </c>
      <c r="F19" s="41"/>
      <c r="G19" s="41">
        <f t="shared" si="0"/>
        <v>23500</v>
      </c>
      <c r="H19" s="143"/>
    </row>
    <row r="20" spans="1:8">
      <c r="A20" s="37" t="s">
        <v>88</v>
      </c>
      <c r="B20" s="42" t="s">
        <v>32</v>
      </c>
      <c r="C20" s="18" t="s">
        <v>249</v>
      </c>
      <c r="D20" s="42" t="s">
        <v>334</v>
      </c>
      <c r="E20" s="41">
        <v>15900</v>
      </c>
      <c r="F20" s="41"/>
      <c r="G20" s="41">
        <f t="shared" si="0"/>
        <v>15900</v>
      </c>
      <c r="H20" s="143"/>
    </row>
    <row r="21" spans="1:8">
      <c r="A21" s="37" t="s">
        <v>89</v>
      </c>
      <c r="B21" s="42" t="s">
        <v>33</v>
      </c>
      <c r="C21" s="18" t="s">
        <v>263</v>
      </c>
      <c r="D21" s="42" t="s">
        <v>334</v>
      </c>
      <c r="E21" s="41">
        <v>25100</v>
      </c>
      <c r="F21" s="41"/>
      <c r="G21" s="41">
        <f t="shared" si="0"/>
        <v>25100</v>
      </c>
      <c r="H21" s="143"/>
    </row>
    <row r="22" spans="1:8">
      <c r="A22" s="37" t="s">
        <v>90</v>
      </c>
      <c r="B22" s="42" t="s">
        <v>34</v>
      </c>
      <c r="C22" s="18" t="s">
        <v>264</v>
      </c>
      <c r="D22" s="42" t="s">
        <v>334</v>
      </c>
      <c r="E22" s="41">
        <v>36000</v>
      </c>
      <c r="F22" s="41"/>
      <c r="G22" s="41">
        <f>E22</f>
        <v>36000</v>
      </c>
      <c r="H22" s="143"/>
    </row>
    <row r="23" spans="1:8">
      <c r="A23" s="37" t="s">
        <v>91</v>
      </c>
      <c r="B23" s="42" t="s">
        <v>35</v>
      </c>
      <c r="C23" s="18" t="s">
        <v>258</v>
      </c>
      <c r="D23" s="42" t="s">
        <v>334</v>
      </c>
      <c r="E23" s="41">
        <v>13300</v>
      </c>
      <c r="F23" s="41"/>
      <c r="G23" s="41">
        <f t="shared" si="0"/>
        <v>13300</v>
      </c>
      <c r="H23" s="143"/>
    </row>
    <row r="24" spans="1:8">
      <c r="A24" s="37" t="s">
        <v>92</v>
      </c>
      <c r="B24" s="42" t="s">
        <v>36</v>
      </c>
      <c r="C24" s="114" t="s">
        <v>13</v>
      </c>
      <c r="D24" s="42" t="s">
        <v>334</v>
      </c>
      <c r="E24" s="41">
        <v>8000</v>
      </c>
      <c r="F24" s="41"/>
      <c r="G24" s="41">
        <f t="shared" si="0"/>
        <v>8000</v>
      </c>
      <c r="H24" s="143"/>
    </row>
    <row r="25" spans="1:8" ht="25.5">
      <c r="A25" s="37" t="s">
        <v>93</v>
      </c>
      <c r="B25" s="42" t="s">
        <v>37</v>
      </c>
      <c r="C25" s="18" t="s">
        <v>250</v>
      </c>
      <c r="D25" s="42" t="s">
        <v>334</v>
      </c>
      <c r="E25" s="41">
        <v>12300</v>
      </c>
      <c r="F25" s="41"/>
      <c r="G25" s="41">
        <f t="shared" si="0"/>
        <v>12300</v>
      </c>
      <c r="H25" s="143"/>
    </row>
    <row r="26" spans="1:8" ht="12.75" customHeight="1">
      <c r="A26" s="37" t="s">
        <v>94</v>
      </c>
      <c r="B26" s="42" t="s">
        <v>38</v>
      </c>
      <c r="C26" s="18" t="s">
        <v>251</v>
      </c>
      <c r="D26" s="42" t="s">
        <v>334</v>
      </c>
      <c r="E26" s="41">
        <v>11300</v>
      </c>
      <c r="F26" s="41"/>
      <c r="G26" s="41">
        <f t="shared" si="0"/>
        <v>11300</v>
      </c>
      <c r="H26" s="143"/>
    </row>
    <row r="27" spans="1:8" ht="12.75" customHeight="1">
      <c r="A27" s="37" t="s">
        <v>95</v>
      </c>
      <c r="B27" s="42" t="s">
        <v>39</v>
      </c>
      <c r="C27" s="18" t="s">
        <v>252</v>
      </c>
      <c r="D27" s="42" t="s">
        <v>334</v>
      </c>
      <c r="E27" s="41">
        <v>11200</v>
      </c>
      <c r="F27" s="41"/>
      <c r="G27" s="41">
        <f t="shared" si="0"/>
        <v>11200</v>
      </c>
      <c r="H27" s="143"/>
    </row>
    <row r="28" spans="1:8">
      <c r="A28" s="37" t="s">
        <v>96</v>
      </c>
      <c r="B28" s="42" t="s">
        <v>40</v>
      </c>
      <c r="C28" s="18" t="s">
        <v>265</v>
      </c>
      <c r="D28" s="42" t="s">
        <v>334</v>
      </c>
      <c r="E28" s="41">
        <v>15500</v>
      </c>
      <c r="F28" s="41"/>
      <c r="G28" s="41">
        <f t="shared" si="0"/>
        <v>15500</v>
      </c>
      <c r="H28" s="143"/>
    </row>
    <row r="29" spans="1:8" ht="12.75" customHeight="1">
      <c r="A29" s="32" t="s">
        <v>97</v>
      </c>
      <c r="B29" s="12" t="s">
        <v>41</v>
      </c>
      <c r="C29" s="18" t="s">
        <v>14</v>
      </c>
      <c r="D29" s="12" t="s">
        <v>334</v>
      </c>
      <c r="E29" s="20">
        <v>800</v>
      </c>
      <c r="F29" s="20"/>
      <c r="G29" s="20">
        <f t="shared" si="0"/>
        <v>800</v>
      </c>
      <c r="H29" s="143"/>
    </row>
    <row r="30" spans="1:8" ht="12.75" customHeight="1">
      <c r="A30" s="32" t="s">
        <v>98</v>
      </c>
      <c r="B30" s="12" t="s">
        <v>42</v>
      </c>
      <c r="C30" s="18" t="s">
        <v>15</v>
      </c>
      <c r="D30" s="12" t="s">
        <v>334</v>
      </c>
      <c r="E30" s="20">
        <v>1000</v>
      </c>
      <c r="F30" s="20"/>
      <c r="G30" s="20">
        <f t="shared" si="0"/>
        <v>1000</v>
      </c>
      <c r="H30" s="143"/>
    </row>
    <row r="31" spans="1:8" ht="12.75" customHeight="1">
      <c r="A31" s="32" t="s">
        <v>99</v>
      </c>
      <c r="B31" s="12" t="s">
        <v>43</v>
      </c>
      <c r="C31" s="18" t="s">
        <v>123</v>
      </c>
      <c r="D31" s="12" t="s">
        <v>334</v>
      </c>
      <c r="E31" s="20">
        <v>600</v>
      </c>
      <c r="F31" s="20"/>
      <c r="G31" s="20">
        <f t="shared" si="0"/>
        <v>600</v>
      </c>
      <c r="H31" s="143"/>
    </row>
    <row r="32" spans="1:8" ht="12.75" customHeight="1">
      <c r="A32" s="37" t="s">
        <v>100</v>
      </c>
      <c r="B32" s="31" t="s">
        <v>9</v>
      </c>
      <c r="C32" s="144" t="s">
        <v>16</v>
      </c>
      <c r="D32" s="145"/>
      <c r="E32" s="83">
        <f>SUM(E33+E36+E38+E40)</f>
        <v>894300</v>
      </c>
      <c r="F32" s="83">
        <f>SUM(F33+F36+F38+F40)</f>
        <v>373000</v>
      </c>
      <c r="G32" s="83">
        <f>SUM(G33+G36+G40)</f>
        <v>0</v>
      </c>
      <c r="H32" s="83">
        <f>SUM(H33+H36+H40)</f>
        <v>0</v>
      </c>
    </row>
    <row r="33" spans="1:8" ht="25.5">
      <c r="A33" s="39" t="s">
        <v>101</v>
      </c>
      <c r="B33" s="201" t="s">
        <v>23</v>
      </c>
      <c r="C33" s="51" t="s">
        <v>17</v>
      </c>
      <c r="D33" s="146"/>
      <c r="E33" s="102">
        <f>SUM(E34:E35)</f>
        <v>308800</v>
      </c>
      <c r="F33" s="102">
        <f>SUM(F34:F35)</f>
        <v>231400</v>
      </c>
      <c r="G33" s="102">
        <f>SUM(G34:G35)</f>
        <v>0</v>
      </c>
      <c r="H33" s="102">
        <f>SUM(H34:H35)</f>
        <v>0</v>
      </c>
    </row>
    <row r="34" spans="1:8" ht="25.5">
      <c r="A34" s="37" t="s">
        <v>102</v>
      </c>
      <c r="B34" s="203"/>
      <c r="C34" s="147" t="s">
        <v>335</v>
      </c>
      <c r="D34" s="148" t="s">
        <v>336</v>
      </c>
      <c r="E34" s="58">
        <v>50000</v>
      </c>
      <c r="F34" s="126">
        <v>38100</v>
      </c>
      <c r="G34" s="149"/>
      <c r="H34" s="143"/>
    </row>
    <row r="35" spans="1:8">
      <c r="A35" s="7" t="s">
        <v>103</v>
      </c>
      <c r="B35" s="202"/>
      <c r="C35" s="147" t="s">
        <v>337</v>
      </c>
      <c r="D35" s="150" t="s">
        <v>338</v>
      </c>
      <c r="E35" s="54">
        <v>258800</v>
      </c>
      <c r="F35" s="127">
        <v>193300</v>
      </c>
      <c r="G35" s="149"/>
      <c r="H35" s="143"/>
    </row>
    <row r="36" spans="1:8">
      <c r="A36" s="7" t="s">
        <v>104</v>
      </c>
      <c r="B36" s="201" t="s">
        <v>24</v>
      </c>
      <c r="C36" s="147" t="s">
        <v>82</v>
      </c>
      <c r="D36" s="148"/>
      <c r="E36" s="54">
        <f>SUM(E37)</f>
        <v>115000</v>
      </c>
      <c r="F36" s="127">
        <f>SUM(F37)</f>
        <v>66000</v>
      </c>
      <c r="G36" s="61">
        <f>SUM(G37)</f>
        <v>0</v>
      </c>
      <c r="H36" s="61">
        <f>SUM(H37)</f>
        <v>0</v>
      </c>
    </row>
    <row r="37" spans="1:8" ht="25.5">
      <c r="A37" s="37" t="s">
        <v>105</v>
      </c>
      <c r="B37" s="202"/>
      <c r="C37" s="147" t="s">
        <v>335</v>
      </c>
      <c r="D37" s="151" t="s">
        <v>336</v>
      </c>
      <c r="E37" s="58">
        <v>115000</v>
      </c>
      <c r="F37" s="126">
        <v>66000</v>
      </c>
      <c r="G37" s="25"/>
      <c r="H37" s="152"/>
    </row>
    <row r="38" spans="1:8">
      <c r="A38" s="75" t="s">
        <v>106</v>
      </c>
      <c r="B38" s="141" t="s">
        <v>25</v>
      </c>
      <c r="C38" s="153" t="s">
        <v>339</v>
      </c>
      <c r="D38" s="154"/>
      <c r="E38" s="28">
        <f>SUM(E39)</f>
        <v>103500</v>
      </c>
      <c r="F38" s="155">
        <f>SUM(F39)</f>
        <v>65900</v>
      </c>
      <c r="G38" s="25">
        <f>SUM(G39)</f>
        <v>0</v>
      </c>
      <c r="H38" s="25">
        <f>SUM(H39)</f>
        <v>0</v>
      </c>
    </row>
    <row r="39" spans="1:8">
      <c r="A39" s="75" t="s">
        <v>107</v>
      </c>
      <c r="B39" s="141"/>
      <c r="C39" s="147" t="s">
        <v>340</v>
      </c>
      <c r="D39" s="154" t="s">
        <v>379</v>
      </c>
      <c r="E39" s="58">
        <v>103500</v>
      </c>
      <c r="F39" s="126">
        <v>65900</v>
      </c>
      <c r="G39" s="25"/>
      <c r="H39" s="156"/>
    </row>
    <row r="40" spans="1:8">
      <c r="A40" s="76" t="s">
        <v>108</v>
      </c>
      <c r="B40" s="201" t="s">
        <v>136</v>
      </c>
      <c r="C40" s="157" t="s">
        <v>18</v>
      </c>
      <c r="D40" s="158"/>
      <c r="E40" s="125">
        <f>SUM(E41:E48)</f>
        <v>367000</v>
      </c>
      <c r="F40" s="102">
        <f>SUM(F41:F48)</f>
        <v>9700</v>
      </c>
      <c r="G40" s="102">
        <f>SUM(G41:G48)</f>
        <v>0</v>
      </c>
      <c r="H40" s="102">
        <f>SUM(H41:H48)</f>
        <v>0</v>
      </c>
    </row>
    <row r="41" spans="1:8" ht="25.5">
      <c r="A41" s="75" t="s">
        <v>109</v>
      </c>
      <c r="B41" s="203"/>
      <c r="C41" s="147" t="s">
        <v>335</v>
      </c>
      <c r="D41" s="159" t="s">
        <v>336</v>
      </c>
      <c r="E41" s="58">
        <v>76300</v>
      </c>
      <c r="F41" s="26"/>
      <c r="G41" s="26"/>
      <c r="H41" s="152"/>
    </row>
    <row r="42" spans="1:8" ht="26.25" customHeight="1">
      <c r="A42" s="75" t="s">
        <v>110</v>
      </c>
      <c r="B42" s="203"/>
      <c r="C42" s="147" t="s">
        <v>341</v>
      </c>
      <c r="D42" s="159" t="s">
        <v>336</v>
      </c>
      <c r="E42" s="58">
        <v>2200</v>
      </c>
      <c r="F42" s="90"/>
      <c r="G42" s="160"/>
      <c r="H42" s="152"/>
    </row>
    <row r="43" spans="1:8" ht="12.75" customHeight="1">
      <c r="A43" s="77" t="s">
        <v>185</v>
      </c>
      <c r="B43" s="203"/>
      <c r="C43" s="161" t="s">
        <v>342</v>
      </c>
      <c r="D43" s="162" t="s">
        <v>343</v>
      </c>
      <c r="E43" s="54">
        <v>170300</v>
      </c>
      <c r="F43" s="149"/>
      <c r="G43" s="149"/>
      <c r="H43" s="143"/>
    </row>
    <row r="44" spans="1:8" ht="12.75" customHeight="1">
      <c r="A44" s="75" t="s">
        <v>186</v>
      </c>
      <c r="B44" s="203"/>
      <c r="C44" s="55" t="s">
        <v>392</v>
      </c>
      <c r="D44" s="159" t="s">
        <v>343</v>
      </c>
      <c r="E44" s="58">
        <v>5100</v>
      </c>
      <c r="F44" s="163">
        <v>3700</v>
      </c>
      <c r="G44" s="160"/>
      <c r="H44" s="152"/>
    </row>
    <row r="45" spans="1:8" ht="12.75" customHeight="1">
      <c r="A45" s="77" t="s">
        <v>187</v>
      </c>
      <c r="B45" s="203"/>
      <c r="C45" s="161" t="s">
        <v>344</v>
      </c>
      <c r="D45" s="162" t="s">
        <v>345</v>
      </c>
      <c r="E45" s="54">
        <v>102000</v>
      </c>
      <c r="F45" s="164"/>
      <c r="G45" s="149"/>
      <c r="H45" s="143"/>
    </row>
    <row r="46" spans="1:8" ht="26.25" customHeight="1">
      <c r="A46" s="75" t="s">
        <v>188</v>
      </c>
      <c r="B46" s="203"/>
      <c r="C46" s="55" t="s">
        <v>346</v>
      </c>
      <c r="D46" s="159" t="s">
        <v>345</v>
      </c>
      <c r="E46" s="58">
        <v>10000</v>
      </c>
      <c r="F46" s="163">
        <v>5500</v>
      </c>
      <c r="G46" s="26"/>
      <c r="H46" s="152"/>
    </row>
    <row r="47" spans="1:8" ht="26.25" customHeight="1">
      <c r="A47" s="75" t="s">
        <v>189</v>
      </c>
      <c r="B47" s="203"/>
      <c r="C47" s="55" t="s">
        <v>405</v>
      </c>
      <c r="D47" s="159" t="s">
        <v>399</v>
      </c>
      <c r="E47" s="28">
        <v>400</v>
      </c>
      <c r="F47" s="41"/>
      <c r="G47" s="28"/>
      <c r="H47" s="25"/>
    </row>
    <row r="48" spans="1:8" ht="25.5">
      <c r="A48" s="75" t="s">
        <v>190</v>
      </c>
      <c r="B48" s="203"/>
      <c r="C48" s="55" t="s">
        <v>347</v>
      </c>
      <c r="D48" s="159" t="s">
        <v>348</v>
      </c>
      <c r="E48" s="58">
        <v>700</v>
      </c>
      <c r="F48" s="126">
        <v>500</v>
      </c>
      <c r="G48" s="26"/>
      <c r="H48" s="152"/>
    </row>
    <row r="49" spans="1:8" ht="25.5">
      <c r="A49" s="37" t="s">
        <v>191</v>
      </c>
      <c r="B49" s="62" t="s">
        <v>19</v>
      </c>
      <c r="C49" s="22" t="s">
        <v>20</v>
      </c>
      <c r="D49" s="38"/>
      <c r="E49" s="83">
        <f>SUM(E50+E65)</f>
        <v>939700</v>
      </c>
      <c r="F49" s="165">
        <f>SUM(F50+F65)</f>
        <v>563300</v>
      </c>
      <c r="G49" s="83">
        <f>SUM(G50+G65)</f>
        <v>0</v>
      </c>
      <c r="H49" s="83">
        <f>SUM(H50+H65)</f>
        <v>0</v>
      </c>
    </row>
    <row r="50" spans="1:8">
      <c r="A50" s="37" t="s">
        <v>192</v>
      </c>
      <c r="B50" s="201" t="s">
        <v>26</v>
      </c>
      <c r="C50" s="60" t="s">
        <v>68</v>
      </c>
      <c r="D50" s="45"/>
      <c r="E50" s="28">
        <f>SUM(E51:E51:E64)</f>
        <v>450900</v>
      </c>
      <c r="F50" s="155">
        <f>SUM(F51:F51:F64)</f>
        <v>215600</v>
      </c>
      <c r="G50" s="28">
        <f>SUM(G51:G51:G64)</f>
        <v>0</v>
      </c>
      <c r="H50" s="28">
        <f>SUM(H51:H51:H64)</f>
        <v>0</v>
      </c>
    </row>
    <row r="51" spans="1:8">
      <c r="A51" s="7" t="s">
        <v>193</v>
      </c>
      <c r="B51" s="203"/>
      <c r="C51" s="55" t="s">
        <v>349</v>
      </c>
      <c r="D51" s="59" t="s">
        <v>350</v>
      </c>
      <c r="E51" s="54">
        <v>17500</v>
      </c>
      <c r="F51" s="126">
        <v>11500</v>
      </c>
      <c r="G51" s="10"/>
      <c r="H51" s="143"/>
    </row>
    <row r="52" spans="1:8">
      <c r="A52" s="37" t="s">
        <v>194</v>
      </c>
      <c r="B52" s="203"/>
      <c r="C52" s="55" t="s">
        <v>351</v>
      </c>
      <c r="D52" s="53" t="s">
        <v>352</v>
      </c>
      <c r="E52" s="58">
        <v>24000</v>
      </c>
      <c r="F52" s="126">
        <v>18300</v>
      </c>
      <c r="G52" s="29"/>
      <c r="H52" s="152"/>
    </row>
    <row r="53" spans="1:8">
      <c r="A53" s="7" t="s">
        <v>195</v>
      </c>
      <c r="B53" s="203"/>
      <c r="C53" s="55" t="s">
        <v>353</v>
      </c>
      <c r="D53" s="59" t="s">
        <v>354</v>
      </c>
      <c r="E53" s="54">
        <v>17900</v>
      </c>
      <c r="F53" s="127">
        <v>7000</v>
      </c>
      <c r="G53" s="149"/>
      <c r="H53" s="143"/>
    </row>
    <row r="54" spans="1:8" ht="25.5">
      <c r="A54" s="37" t="s">
        <v>196</v>
      </c>
      <c r="B54" s="203"/>
      <c r="C54" s="55" t="s">
        <v>355</v>
      </c>
      <c r="D54" s="53" t="s">
        <v>352</v>
      </c>
      <c r="E54" s="58">
        <v>7600</v>
      </c>
      <c r="F54" s="126">
        <v>5800</v>
      </c>
      <c r="G54" s="26"/>
      <c r="H54" s="152"/>
    </row>
    <row r="55" spans="1:8">
      <c r="A55" s="7" t="s">
        <v>197</v>
      </c>
      <c r="B55" s="203"/>
      <c r="C55" s="55" t="s">
        <v>356</v>
      </c>
      <c r="D55" s="59" t="s">
        <v>357</v>
      </c>
      <c r="E55" s="54">
        <v>8500</v>
      </c>
      <c r="F55" s="127">
        <v>5800</v>
      </c>
      <c r="G55" s="149"/>
      <c r="H55" s="143"/>
    </row>
    <row r="56" spans="1:8">
      <c r="A56" s="7" t="s">
        <v>198</v>
      </c>
      <c r="B56" s="203"/>
      <c r="C56" s="55" t="s">
        <v>358</v>
      </c>
      <c r="D56" s="59" t="s">
        <v>359</v>
      </c>
      <c r="E56" s="54">
        <f>40200+6800</f>
        <v>47000</v>
      </c>
      <c r="F56" s="127">
        <f>30800+4700</f>
        <v>35500</v>
      </c>
      <c r="G56" s="149"/>
      <c r="H56" s="143"/>
    </row>
    <row r="57" spans="1:8">
      <c r="A57" s="7" t="s">
        <v>199</v>
      </c>
      <c r="B57" s="203"/>
      <c r="C57" s="55" t="s">
        <v>360</v>
      </c>
      <c r="D57" s="59" t="s">
        <v>359</v>
      </c>
      <c r="E57" s="54">
        <v>14600</v>
      </c>
      <c r="F57" s="127">
        <v>11200</v>
      </c>
      <c r="G57" s="149"/>
      <c r="H57" s="143"/>
    </row>
    <row r="58" spans="1:8">
      <c r="A58" s="7" t="s">
        <v>200</v>
      </c>
      <c r="B58" s="203"/>
      <c r="C58" s="55" t="s">
        <v>361</v>
      </c>
      <c r="D58" s="59" t="s">
        <v>352</v>
      </c>
      <c r="E58" s="54">
        <v>6100</v>
      </c>
      <c r="F58" s="127">
        <v>4700</v>
      </c>
      <c r="G58" s="10"/>
      <c r="H58" s="143"/>
    </row>
    <row r="59" spans="1:8" ht="25.5">
      <c r="A59" s="37" t="s">
        <v>201</v>
      </c>
      <c r="B59" s="203"/>
      <c r="C59" s="166" t="s">
        <v>362</v>
      </c>
      <c r="D59" s="53" t="s">
        <v>350</v>
      </c>
      <c r="E59" s="58">
        <v>600</v>
      </c>
      <c r="F59" s="126">
        <v>400</v>
      </c>
      <c r="G59" s="29"/>
      <c r="H59" s="152"/>
    </row>
    <row r="60" spans="1:8" ht="25.5">
      <c r="A60" s="167" t="s">
        <v>202</v>
      </c>
      <c r="B60" s="203"/>
      <c r="C60" s="166" t="s">
        <v>363</v>
      </c>
      <c r="D60" s="84" t="s">
        <v>350</v>
      </c>
      <c r="E60" s="58">
        <v>500</v>
      </c>
      <c r="F60" s="126">
        <v>400</v>
      </c>
      <c r="G60" s="29"/>
      <c r="H60" s="143"/>
    </row>
    <row r="61" spans="1:8" ht="12.75" customHeight="1">
      <c r="A61" s="66" t="s">
        <v>203</v>
      </c>
      <c r="B61" s="203"/>
      <c r="C61" s="168" t="s">
        <v>364</v>
      </c>
      <c r="D61" s="169" t="s">
        <v>352</v>
      </c>
      <c r="E61" s="170">
        <v>8800</v>
      </c>
      <c r="F61" s="171">
        <v>1400</v>
      </c>
      <c r="G61" s="172"/>
      <c r="H61" s="143"/>
    </row>
    <row r="62" spans="1:8" ht="38.25">
      <c r="A62" s="37" t="s">
        <v>204</v>
      </c>
      <c r="B62" s="203"/>
      <c r="C62" s="173" t="s">
        <v>365</v>
      </c>
      <c r="D62" s="174" t="s">
        <v>352</v>
      </c>
      <c r="E62" s="58">
        <v>1200</v>
      </c>
      <c r="F62" s="58"/>
      <c r="G62" s="175"/>
      <c r="H62" s="152"/>
    </row>
    <row r="63" spans="1:8">
      <c r="A63" s="7" t="s">
        <v>205</v>
      </c>
      <c r="B63" s="203"/>
      <c r="C63" s="55" t="s">
        <v>366</v>
      </c>
      <c r="D63" s="59" t="s">
        <v>367</v>
      </c>
      <c r="E63" s="54">
        <v>156600</v>
      </c>
      <c r="F63" s="127">
        <v>113600</v>
      </c>
      <c r="G63" s="21"/>
      <c r="H63" s="143"/>
    </row>
    <row r="64" spans="1:8">
      <c r="A64" s="7" t="s">
        <v>206</v>
      </c>
      <c r="B64" s="202"/>
      <c r="C64" s="55" t="s">
        <v>368</v>
      </c>
      <c r="D64" s="59" t="s">
        <v>369</v>
      </c>
      <c r="E64" s="54">
        <v>140000</v>
      </c>
      <c r="F64" s="176"/>
      <c r="G64" s="149"/>
      <c r="H64" s="177"/>
    </row>
    <row r="65" spans="1:8">
      <c r="A65" s="37" t="s">
        <v>207</v>
      </c>
      <c r="B65" s="36" t="s">
        <v>27</v>
      </c>
      <c r="C65" s="9" t="s">
        <v>21</v>
      </c>
      <c r="D65" s="38" t="s">
        <v>370</v>
      </c>
      <c r="E65" s="28">
        <v>488800</v>
      </c>
      <c r="F65" s="155">
        <v>347700</v>
      </c>
      <c r="G65" s="25"/>
      <c r="H65" s="143"/>
    </row>
    <row r="66" spans="1:8" ht="25.5">
      <c r="A66" s="37" t="s">
        <v>208</v>
      </c>
      <c r="B66" s="31" t="s">
        <v>75</v>
      </c>
      <c r="C66" s="49" t="s">
        <v>240</v>
      </c>
      <c r="D66" s="30"/>
      <c r="E66" s="30">
        <f>SUM(E67:E70)</f>
        <v>48000</v>
      </c>
      <c r="F66" s="30">
        <f>SUM(F67:F70)</f>
        <v>34900</v>
      </c>
      <c r="G66" s="30">
        <f>SUM(G67:G70)</f>
        <v>0</v>
      </c>
      <c r="H66" s="30">
        <f>SUM(H67:H70)</f>
        <v>0</v>
      </c>
    </row>
    <row r="67" spans="1:8">
      <c r="A67" s="37" t="s">
        <v>209</v>
      </c>
      <c r="B67" s="40" t="s">
        <v>80</v>
      </c>
      <c r="C67" s="18" t="s">
        <v>263</v>
      </c>
      <c r="D67" s="25" t="s">
        <v>371</v>
      </c>
      <c r="E67" s="25">
        <v>2300</v>
      </c>
      <c r="F67" s="25">
        <v>1800</v>
      </c>
      <c r="G67" s="25"/>
      <c r="H67" s="25"/>
    </row>
    <row r="68" spans="1:8">
      <c r="A68" s="37" t="s">
        <v>210</v>
      </c>
      <c r="B68" s="40" t="s">
        <v>372</v>
      </c>
      <c r="C68" s="122" t="s">
        <v>54</v>
      </c>
      <c r="D68" s="25" t="s">
        <v>371</v>
      </c>
      <c r="E68" s="25">
        <v>2200</v>
      </c>
      <c r="F68" s="25">
        <v>1700</v>
      </c>
      <c r="G68" s="25"/>
      <c r="H68" s="25"/>
    </row>
    <row r="69" spans="1:8">
      <c r="A69" s="37" t="s">
        <v>211</v>
      </c>
      <c r="B69" s="40" t="s">
        <v>373</v>
      </c>
      <c r="C69" s="122" t="s">
        <v>82</v>
      </c>
      <c r="D69" s="25" t="s">
        <v>371</v>
      </c>
      <c r="E69" s="25">
        <v>2500</v>
      </c>
      <c r="F69" s="25">
        <v>1900</v>
      </c>
      <c r="G69" s="25"/>
      <c r="H69" s="25"/>
    </row>
    <row r="70" spans="1:8">
      <c r="A70" s="37" t="s">
        <v>212</v>
      </c>
      <c r="B70" s="201" t="s">
        <v>383</v>
      </c>
      <c r="C70" s="122" t="s">
        <v>18</v>
      </c>
      <c r="D70" s="178"/>
      <c r="E70" s="25">
        <f>SUM(E71)</f>
        <v>41000</v>
      </c>
      <c r="F70" s="25">
        <f>SUM(F71)</f>
        <v>29500</v>
      </c>
      <c r="G70" s="69"/>
      <c r="H70" s="143"/>
    </row>
    <row r="71" spans="1:8" ht="25.5">
      <c r="A71" s="37" t="s">
        <v>213</v>
      </c>
      <c r="B71" s="202"/>
      <c r="C71" s="89" t="s">
        <v>374</v>
      </c>
      <c r="D71" s="179" t="s">
        <v>371</v>
      </c>
      <c r="E71" s="85">
        <v>41000</v>
      </c>
      <c r="F71" s="85">
        <v>29500</v>
      </c>
      <c r="G71" s="149"/>
      <c r="H71" s="143"/>
    </row>
    <row r="72" spans="1:8">
      <c r="A72" s="7" t="s">
        <v>214</v>
      </c>
      <c r="B72" s="13"/>
      <c r="C72" s="14" t="s">
        <v>138</v>
      </c>
      <c r="D72" s="15"/>
      <c r="E72" s="27">
        <f>SUM(E66+E49+E32+E16)</f>
        <v>2088000</v>
      </c>
      <c r="F72" s="27">
        <f>SUM(F66+F49+F32+F16)</f>
        <v>971200</v>
      </c>
      <c r="G72" s="27">
        <f>SUM(G66+G49+G32+G16)</f>
        <v>206000</v>
      </c>
      <c r="H72" s="27">
        <f>SUM(H66+H49+H32+H16)</f>
        <v>0</v>
      </c>
    </row>
    <row r="73" spans="1:8">
      <c r="D73" s="123"/>
      <c r="E73" s="123"/>
    </row>
  </sheetData>
  <mergeCells count="22">
    <mergeCell ref="E1:H1"/>
    <mergeCell ref="E2:H2"/>
    <mergeCell ref="E3:H3"/>
    <mergeCell ref="E4:H4"/>
    <mergeCell ref="H12:H14"/>
    <mergeCell ref="A7:H7"/>
    <mergeCell ref="A11:A14"/>
    <mergeCell ref="B11:B14"/>
    <mergeCell ref="C11:C14"/>
    <mergeCell ref="F12:G12"/>
    <mergeCell ref="B70:B71"/>
    <mergeCell ref="B36:B37"/>
    <mergeCell ref="B40:B48"/>
    <mergeCell ref="B50:B64"/>
    <mergeCell ref="B33:B35"/>
    <mergeCell ref="F13:F14"/>
    <mergeCell ref="G13:G14"/>
    <mergeCell ref="E10:G10"/>
    <mergeCell ref="A6:H6"/>
    <mergeCell ref="E11:H11"/>
    <mergeCell ref="E12:E14"/>
    <mergeCell ref="D11:D14"/>
  </mergeCells>
  <pageMargins left="0.59055118110236227" right="0.19685039370078741" top="0.39370078740157483" bottom="0.39370078740157483" header="0" footer="0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K35"/>
  <sheetViews>
    <sheetView zoomScale="135" zoomScaleNormal="135" workbookViewId="0">
      <selection activeCell="F3" sqref="F3:H3"/>
    </sheetView>
  </sheetViews>
  <sheetFormatPr defaultRowHeight="12.75"/>
  <cols>
    <col min="1" max="1" width="4" customWidth="1"/>
    <col min="2" max="2" width="10.140625" customWidth="1"/>
    <col min="3" max="3" width="33.140625" customWidth="1"/>
    <col min="4" max="4" width="9.85546875" customWidth="1"/>
    <col min="5" max="6" width="8.7109375" customWidth="1"/>
    <col min="7" max="7" width="11.28515625" customWidth="1"/>
    <col min="8" max="8" width="10.140625" customWidth="1"/>
  </cols>
  <sheetData>
    <row r="1" spans="1:11" ht="14.1" customHeight="1">
      <c r="A1" s="3"/>
      <c r="B1" s="3"/>
      <c r="C1" s="3"/>
      <c r="D1" s="34"/>
      <c r="E1" s="35"/>
      <c r="F1" s="207" t="s">
        <v>7</v>
      </c>
      <c r="G1" s="207"/>
      <c r="H1" s="207"/>
    </row>
    <row r="2" spans="1:11" ht="14.1" customHeight="1">
      <c r="A2" s="3"/>
      <c r="B2" s="3"/>
      <c r="C2" s="3"/>
      <c r="D2" s="34"/>
      <c r="E2" s="35"/>
      <c r="F2" s="207" t="s">
        <v>406</v>
      </c>
      <c r="G2" s="207"/>
      <c r="H2" s="207"/>
    </row>
    <row r="3" spans="1:11" ht="14.1" customHeight="1">
      <c r="A3" s="1"/>
      <c r="B3" s="2"/>
      <c r="C3" s="120"/>
      <c r="D3" s="35"/>
      <c r="E3" s="35"/>
      <c r="F3" s="207" t="s">
        <v>410</v>
      </c>
      <c r="G3" s="207"/>
      <c r="H3" s="207"/>
    </row>
    <row r="4" spans="1:11" ht="14.1" customHeight="1">
      <c r="A4" s="1"/>
      <c r="B4" s="2"/>
      <c r="C4" s="120"/>
      <c r="D4" s="35"/>
      <c r="E4" s="35"/>
      <c r="F4" s="16" t="s">
        <v>139</v>
      </c>
      <c r="G4" s="34"/>
      <c r="H4" s="34"/>
    </row>
    <row r="5" spans="1:11" ht="15" customHeight="1">
      <c r="A5" s="1"/>
      <c r="B5" s="2"/>
      <c r="C5" s="3"/>
      <c r="D5" s="43"/>
      <c r="E5" s="16"/>
      <c r="F5" s="16"/>
      <c r="G5" s="16"/>
      <c r="H5" s="16"/>
    </row>
    <row r="6" spans="1:11" ht="12.75" customHeight="1">
      <c r="A6" s="219" t="s">
        <v>385</v>
      </c>
      <c r="B6" s="219"/>
      <c r="C6" s="219"/>
      <c r="D6" s="219"/>
      <c r="E6" s="219"/>
      <c r="F6" s="219"/>
      <c r="G6" s="219"/>
      <c r="H6" s="219"/>
    </row>
    <row r="7" spans="1:11" ht="12.75" customHeight="1">
      <c r="A7" s="219" t="s">
        <v>327</v>
      </c>
      <c r="B7" s="219"/>
      <c r="C7" s="219"/>
      <c r="D7" s="219"/>
      <c r="E7" s="219"/>
      <c r="F7" s="219"/>
      <c r="G7" s="219"/>
      <c r="H7" s="219"/>
      <c r="I7" s="48"/>
    </row>
    <row r="8" spans="1:11" ht="12.75" customHeight="1">
      <c r="A8" s="1"/>
      <c r="B8" s="2"/>
      <c r="C8" s="3"/>
      <c r="D8" s="43"/>
      <c r="E8" s="110"/>
      <c r="F8" s="110"/>
      <c r="G8" s="110"/>
      <c r="H8" s="109" t="s">
        <v>266</v>
      </c>
      <c r="I8" s="33"/>
    </row>
    <row r="9" spans="1:11">
      <c r="A9" s="192" t="s">
        <v>0</v>
      </c>
      <c r="B9" s="209" t="s">
        <v>1</v>
      </c>
      <c r="C9" s="192" t="s">
        <v>49</v>
      </c>
      <c r="D9" s="204" t="s">
        <v>2</v>
      </c>
      <c r="E9" s="196" t="s">
        <v>130</v>
      </c>
      <c r="F9" s="197"/>
      <c r="G9" s="197"/>
      <c r="H9" s="198"/>
    </row>
    <row r="10" spans="1:11" ht="12.75" customHeight="1">
      <c r="A10" s="199"/>
      <c r="B10" s="210"/>
      <c r="C10" s="199"/>
      <c r="D10" s="205"/>
      <c r="E10" s="192" t="s">
        <v>3</v>
      </c>
      <c r="F10" s="214" t="s">
        <v>4</v>
      </c>
      <c r="G10" s="214"/>
      <c r="H10" s="215"/>
    </row>
    <row r="11" spans="1:11">
      <c r="A11" s="199"/>
      <c r="B11" s="210"/>
      <c r="C11" s="199"/>
      <c r="D11" s="205"/>
      <c r="E11" s="199"/>
      <c r="F11" s="216" t="s">
        <v>128</v>
      </c>
      <c r="G11" s="216"/>
      <c r="H11" s="192" t="s">
        <v>50</v>
      </c>
    </row>
    <row r="12" spans="1:11" ht="28.5" customHeight="1">
      <c r="A12" s="200"/>
      <c r="B12" s="211"/>
      <c r="C12" s="200"/>
      <c r="D12" s="206"/>
      <c r="E12" s="200"/>
      <c r="F12" s="92" t="s">
        <v>129</v>
      </c>
      <c r="G12" s="94" t="s">
        <v>8</v>
      </c>
      <c r="H12" s="200"/>
    </row>
    <row r="13" spans="1:11" ht="11.25" customHeight="1">
      <c r="A13" s="5">
        <v>1</v>
      </c>
      <c r="B13" s="6" t="s">
        <v>5</v>
      </c>
      <c r="C13" s="4">
        <v>3</v>
      </c>
      <c r="D13" s="6" t="s">
        <v>6</v>
      </c>
      <c r="E13" s="4">
        <v>5</v>
      </c>
      <c r="F13" s="4">
        <v>6</v>
      </c>
      <c r="G13" s="4">
        <v>7</v>
      </c>
      <c r="H13" s="4">
        <v>8</v>
      </c>
      <c r="K13" s="139"/>
    </row>
    <row r="14" spans="1:11" ht="25.5">
      <c r="A14" s="37" t="s">
        <v>84</v>
      </c>
      <c r="B14" s="87" t="s">
        <v>10</v>
      </c>
      <c r="C14" s="17" t="s">
        <v>11</v>
      </c>
      <c r="D14" s="42"/>
      <c r="E14" s="82">
        <f>SUM(E15:E15)</f>
        <v>94700</v>
      </c>
      <c r="F14" s="82">
        <f>SUM(F15:F15)</f>
        <v>94700</v>
      </c>
      <c r="G14" s="82">
        <f>SUM(G15:G15)</f>
        <v>64700</v>
      </c>
      <c r="H14" s="82">
        <f>SUM(H15:H15)</f>
        <v>0</v>
      </c>
    </row>
    <row r="15" spans="1:11" ht="12.75" customHeight="1">
      <c r="A15" s="37" t="s">
        <v>85</v>
      </c>
      <c r="B15" s="12" t="s">
        <v>29</v>
      </c>
      <c r="C15" s="18" t="s">
        <v>267</v>
      </c>
      <c r="D15" s="12" t="s">
        <v>70</v>
      </c>
      <c r="E15" s="20">
        <v>94700</v>
      </c>
      <c r="F15" s="20">
        <f>E15-H15</f>
        <v>94700</v>
      </c>
      <c r="G15" s="20">
        <v>64700</v>
      </c>
      <c r="H15" s="82"/>
    </row>
    <row r="16" spans="1:11" ht="38.25">
      <c r="A16" s="39" t="s">
        <v>86</v>
      </c>
      <c r="B16" s="31" t="s">
        <v>9</v>
      </c>
      <c r="C16" s="8" t="s">
        <v>16</v>
      </c>
      <c r="D16" s="44"/>
      <c r="E16" s="83">
        <f>SUM(E17+E18)</f>
        <v>148800</v>
      </c>
      <c r="F16" s="83">
        <f>SUM(F17+F18)</f>
        <v>148800</v>
      </c>
      <c r="G16" s="83">
        <f>SUM(G17+G18)</f>
        <v>107900</v>
      </c>
      <c r="H16" s="83">
        <f>SUM(H17+H18)</f>
        <v>0</v>
      </c>
    </row>
    <row r="17" spans="1:8">
      <c r="A17" s="39" t="s">
        <v>87</v>
      </c>
      <c r="B17" s="40" t="s">
        <v>23</v>
      </c>
      <c r="C17" s="51" t="s">
        <v>81</v>
      </c>
      <c r="D17" s="39">
        <v>10</v>
      </c>
      <c r="E17" s="52">
        <f>15600+5300</f>
        <v>20900</v>
      </c>
      <c r="F17" s="20">
        <f>E17-H17</f>
        <v>20900</v>
      </c>
      <c r="G17" s="52">
        <f>10900+2500</f>
        <v>13400</v>
      </c>
      <c r="H17" s="52"/>
    </row>
    <row r="18" spans="1:8">
      <c r="A18" s="39" t="s">
        <v>88</v>
      </c>
      <c r="B18" s="50" t="s">
        <v>24</v>
      </c>
      <c r="C18" s="9" t="s">
        <v>82</v>
      </c>
      <c r="D18" s="38" t="s">
        <v>71</v>
      </c>
      <c r="E18" s="23">
        <f>122100+5800</f>
        <v>127900</v>
      </c>
      <c r="F18" s="20">
        <f>E18-H18</f>
        <v>127900</v>
      </c>
      <c r="G18" s="24">
        <f>90000+4500</f>
        <v>94500</v>
      </c>
      <c r="H18" s="52"/>
    </row>
    <row r="19" spans="1:8" ht="38.25">
      <c r="A19" s="37" t="s">
        <v>89</v>
      </c>
      <c r="B19" s="121" t="s">
        <v>19</v>
      </c>
      <c r="C19" s="49" t="s">
        <v>20</v>
      </c>
      <c r="D19" s="36"/>
      <c r="E19" s="83">
        <f>SUM(+E20)</f>
        <v>500</v>
      </c>
      <c r="F19" s="83">
        <f>SUM(+F20)</f>
        <v>500</v>
      </c>
      <c r="G19" s="83">
        <f>SUM(+G20)</f>
        <v>0</v>
      </c>
      <c r="H19" s="83">
        <f>SUM(+H20)</f>
        <v>0</v>
      </c>
    </row>
    <row r="20" spans="1:8" ht="12.75" customHeight="1">
      <c r="A20" s="37" t="s">
        <v>90</v>
      </c>
      <c r="B20" s="118" t="s">
        <v>26</v>
      </c>
      <c r="C20" s="122" t="s">
        <v>68</v>
      </c>
      <c r="D20" s="36"/>
      <c r="E20" s="23">
        <f>SUM(E21:E22)</f>
        <v>500</v>
      </c>
      <c r="F20" s="23">
        <f>SUM(F21:F22)</f>
        <v>500</v>
      </c>
      <c r="G20" s="23">
        <f>SUM(G21:G22)</f>
        <v>0</v>
      </c>
      <c r="H20" s="23">
        <f>SUM(H21:H22)</f>
        <v>0</v>
      </c>
    </row>
    <row r="21" spans="1:8" ht="25.5">
      <c r="A21" s="37" t="s">
        <v>91</v>
      </c>
      <c r="B21" s="118"/>
      <c r="C21" s="89" t="s">
        <v>394</v>
      </c>
      <c r="D21" s="135" t="s">
        <v>70</v>
      </c>
      <c r="E21" s="58">
        <f>12700-12700</f>
        <v>0</v>
      </c>
      <c r="F21" s="140">
        <f>E21-H21</f>
        <v>0</v>
      </c>
      <c r="G21" s="58">
        <f>9700-9700</f>
        <v>0</v>
      </c>
      <c r="H21" s="58"/>
    </row>
    <row r="22" spans="1:8" ht="25.5" customHeight="1">
      <c r="A22" s="37" t="s">
        <v>92</v>
      </c>
      <c r="B22" s="118"/>
      <c r="C22" s="89" t="s">
        <v>404</v>
      </c>
      <c r="D22" s="135" t="s">
        <v>19</v>
      </c>
      <c r="E22" s="58">
        <v>500</v>
      </c>
      <c r="F22" s="140">
        <f>E22-H22</f>
        <v>500</v>
      </c>
      <c r="G22" s="58">
        <f>9700-9700</f>
        <v>0</v>
      </c>
      <c r="H22" s="58"/>
    </row>
    <row r="23" spans="1:8" ht="25.5" customHeight="1">
      <c r="A23" s="37" t="s">
        <v>93</v>
      </c>
      <c r="B23" s="121" t="s">
        <v>22</v>
      </c>
      <c r="C23" s="49" t="s">
        <v>111</v>
      </c>
      <c r="D23" s="135"/>
      <c r="E23" s="83">
        <f t="shared" ref="E23:H24" si="0">SUM(E24)</f>
        <v>8700</v>
      </c>
      <c r="F23" s="83">
        <f t="shared" si="0"/>
        <v>8700</v>
      </c>
      <c r="G23" s="83">
        <f t="shared" si="0"/>
        <v>0</v>
      </c>
      <c r="H23" s="83">
        <f t="shared" si="0"/>
        <v>0</v>
      </c>
    </row>
    <row r="24" spans="1:8" ht="12.75" customHeight="1">
      <c r="A24" s="37" t="s">
        <v>94</v>
      </c>
      <c r="B24" s="118" t="s">
        <v>28</v>
      </c>
      <c r="C24" s="122" t="s">
        <v>68</v>
      </c>
      <c r="D24" s="135"/>
      <c r="E24" s="54">
        <f t="shared" si="0"/>
        <v>8700</v>
      </c>
      <c r="F24" s="54">
        <f t="shared" si="0"/>
        <v>8700</v>
      </c>
      <c r="G24" s="54">
        <f t="shared" si="0"/>
        <v>0</v>
      </c>
      <c r="H24" s="54">
        <f t="shared" si="0"/>
        <v>0</v>
      </c>
    </row>
    <row r="25" spans="1:8" ht="26.25" customHeight="1">
      <c r="A25" s="37" t="s">
        <v>95</v>
      </c>
      <c r="B25" s="118"/>
      <c r="C25" s="138" t="s">
        <v>391</v>
      </c>
      <c r="D25" s="135" t="s">
        <v>22</v>
      </c>
      <c r="E25" s="58">
        <v>8700</v>
      </c>
      <c r="F25" s="140">
        <f>E25-H25</f>
        <v>8700</v>
      </c>
      <c r="G25" s="58"/>
      <c r="H25" s="85"/>
    </row>
    <row r="26" spans="1:8" ht="26.25" customHeight="1">
      <c r="A26" s="37" t="s">
        <v>96</v>
      </c>
      <c r="B26" s="121" t="s">
        <v>75</v>
      </c>
      <c r="C26" s="22" t="s">
        <v>240</v>
      </c>
      <c r="D26" s="135"/>
      <c r="E26" s="83">
        <f t="shared" ref="E26:H27" si="1">SUM(E27)</f>
        <v>1008900</v>
      </c>
      <c r="F26" s="83">
        <f t="shared" si="1"/>
        <v>503900</v>
      </c>
      <c r="G26" s="83">
        <f t="shared" si="1"/>
        <v>0</v>
      </c>
      <c r="H26" s="83">
        <f t="shared" si="1"/>
        <v>505000</v>
      </c>
    </row>
    <row r="27" spans="1:8" ht="12.75" customHeight="1">
      <c r="A27" s="37" t="s">
        <v>97</v>
      </c>
      <c r="B27" s="118" t="s">
        <v>80</v>
      </c>
      <c r="C27" s="122" t="s">
        <v>68</v>
      </c>
      <c r="D27" s="135"/>
      <c r="E27" s="54">
        <f t="shared" si="1"/>
        <v>1008900</v>
      </c>
      <c r="F27" s="54">
        <f t="shared" si="1"/>
        <v>503900</v>
      </c>
      <c r="G27" s="54">
        <f t="shared" si="1"/>
        <v>0</v>
      </c>
      <c r="H27" s="54">
        <f t="shared" si="1"/>
        <v>505000</v>
      </c>
    </row>
    <row r="28" spans="1:8" ht="26.25" customHeight="1">
      <c r="A28" s="37" t="s">
        <v>98</v>
      </c>
      <c r="B28" s="118"/>
      <c r="C28" s="138" t="s">
        <v>407</v>
      </c>
      <c r="D28" s="135" t="s">
        <v>19</v>
      </c>
      <c r="E28" s="58">
        <v>1008900</v>
      </c>
      <c r="F28" s="140">
        <f>E28-H28</f>
        <v>503900</v>
      </c>
      <c r="G28" s="58"/>
      <c r="H28" s="85">
        <v>505000</v>
      </c>
    </row>
    <row r="29" spans="1:8">
      <c r="A29" s="37" t="s">
        <v>99</v>
      </c>
      <c r="B29" s="121" t="s">
        <v>76</v>
      </c>
      <c r="C29" s="49" t="s">
        <v>78</v>
      </c>
      <c r="D29" s="36"/>
      <c r="E29" s="27">
        <f>SUM(E30)</f>
        <v>1866200</v>
      </c>
      <c r="F29" s="19">
        <f>E29-H29</f>
        <v>781200</v>
      </c>
      <c r="G29" s="27">
        <f>SUM(G30)</f>
        <v>0</v>
      </c>
      <c r="H29" s="27">
        <f>SUM(H30)</f>
        <v>1085000</v>
      </c>
    </row>
    <row r="30" spans="1:8" ht="12.75" customHeight="1">
      <c r="A30" s="7" t="s">
        <v>100</v>
      </c>
      <c r="B30" s="118" t="s">
        <v>79</v>
      </c>
      <c r="C30" s="122" t="s">
        <v>18</v>
      </c>
      <c r="D30" s="36" t="s">
        <v>22</v>
      </c>
      <c r="E30" s="28">
        <f>781200+1085000</f>
        <v>1866200</v>
      </c>
      <c r="F30" s="41">
        <f>E30-H30</f>
        <v>781200</v>
      </c>
      <c r="G30" s="28"/>
      <c r="H30" s="28">
        <v>1085000</v>
      </c>
    </row>
    <row r="31" spans="1:8">
      <c r="A31" s="7" t="s">
        <v>101</v>
      </c>
      <c r="B31" s="13"/>
      <c r="C31" s="14" t="s">
        <v>138</v>
      </c>
      <c r="D31" s="15"/>
      <c r="E31" s="27">
        <f>E14+E16+E19+E23+E26+E29</f>
        <v>3127800</v>
      </c>
      <c r="F31" s="27">
        <f>F14+F16+F19+F23+F26+F29</f>
        <v>1537800</v>
      </c>
      <c r="G31" s="27">
        <f>G14+G16+G19+G23+G26+G29</f>
        <v>172600</v>
      </c>
      <c r="H31" s="27">
        <f>H14+H16+H19+H23+H26+H29</f>
        <v>1590000</v>
      </c>
    </row>
    <row r="32" spans="1:8">
      <c r="A32" s="217"/>
      <c r="B32" s="218"/>
      <c r="C32" s="218"/>
      <c r="D32" s="218"/>
      <c r="E32" s="218"/>
      <c r="F32" s="218"/>
      <c r="G32" s="218"/>
      <c r="H32" s="218"/>
    </row>
    <row r="33" spans="1:5">
      <c r="A33" s="115"/>
      <c r="D33" s="123"/>
      <c r="E33" s="123"/>
    </row>
    <row r="35" spans="1:5">
      <c r="E35" s="103"/>
    </row>
  </sheetData>
  <mergeCells count="15">
    <mergeCell ref="A32:H32"/>
    <mergeCell ref="A9:A12"/>
    <mergeCell ref="B9:B12"/>
    <mergeCell ref="C9:C12"/>
    <mergeCell ref="D9:D12"/>
    <mergeCell ref="F1:H1"/>
    <mergeCell ref="F2:H2"/>
    <mergeCell ref="F3:H3"/>
    <mergeCell ref="E9:H9"/>
    <mergeCell ref="E10:E12"/>
    <mergeCell ref="F10:H10"/>
    <mergeCell ref="F11:G11"/>
    <mergeCell ref="H11:H12"/>
    <mergeCell ref="A6:H6"/>
    <mergeCell ref="A7:H7"/>
  </mergeCells>
  <phoneticPr fontId="5" type="noConversion"/>
  <pageMargins left="0.59055118110236227" right="0.19685039370078741" top="0.39370078740157483" bottom="0.39370078740157483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09"/>
  <sheetViews>
    <sheetView zoomScale="135" zoomScaleNormal="135" workbookViewId="0">
      <selection activeCell="F3" sqref="F3:H3"/>
    </sheetView>
  </sheetViews>
  <sheetFormatPr defaultRowHeight="12.75"/>
  <cols>
    <col min="1" max="1" width="4" customWidth="1"/>
    <col min="2" max="2" width="10.140625" customWidth="1"/>
    <col min="3" max="3" width="33" customWidth="1"/>
    <col min="4" max="4" width="8.85546875" customWidth="1"/>
    <col min="5" max="5" width="8.7109375" customWidth="1"/>
    <col min="6" max="6" width="8.85546875" customWidth="1"/>
    <col min="7" max="7" width="11" customWidth="1"/>
    <col min="8" max="8" width="10.140625" customWidth="1"/>
  </cols>
  <sheetData>
    <row r="1" spans="1:12" ht="12.75" customHeight="1">
      <c r="A1" s="3"/>
      <c r="B1" s="3"/>
      <c r="C1" s="3"/>
      <c r="D1" s="34"/>
      <c r="E1" s="35"/>
      <c r="F1" s="207" t="s">
        <v>7</v>
      </c>
      <c r="G1" s="207"/>
      <c r="H1" s="207"/>
    </row>
    <row r="2" spans="1:12" ht="14.1" customHeight="1">
      <c r="A2" s="3"/>
      <c r="B2" s="3"/>
      <c r="C2" s="3"/>
      <c r="D2" s="34"/>
      <c r="E2" s="35"/>
      <c r="F2" s="207" t="s">
        <v>406</v>
      </c>
      <c r="G2" s="207"/>
      <c r="H2" s="207"/>
    </row>
    <row r="3" spans="1:12" ht="12.75" customHeight="1">
      <c r="A3" s="1"/>
      <c r="B3" s="2"/>
      <c r="C3" s="3"/>
      <c r="D3" s="35"/>
      <c r="E3" s="35"/>
      <c r="F3" s="207" t="s">
        <v>410</v>
      </c>
      <c r="G3" s="207"/>
      <c r="H3" s="207"/>
    </row>
    <row r="4" spans="1:12" ht="12.75" customHeight="1">
      <c r="A4" s="1"/>
      <c r="B4" s="2"/>
      <c r="C4" s="3"/>
      <c r="D4" s="35"/>
      <c r="E4" s="35"/>
      <c r="F4" s="208" t="s">
        <v>375</v>
      </c>
      <c r="G4" s="208"/>
      <c r="H4" s="208"/>
    </row>
    <row r="5" spans="1:12">
      <c r="A5" s="195" t="s">
        <v>386</v>
      </c>
      <c r="B5" s="195"/>
      <c r="C5" s="195"/>
      <c r="D5" s="195"/>
      <c r="E5" s="195"/>
      <c r="F5" s="195"/>
      <c r="G5" s="195"/>
      <c r="H5" s="195"/>
    </row>
    <row r="6" spans="1:12" ht="12.75" customHeight="1">
      <c r="A6" s="195"/>
      <c r="B6" s="195"/>
      <c r="C6" s="195"/>
      <c r="D6" s="195"/>
      <c r="E6" s="195"/>
      <c r="F6" s="195"/>
      <c r="G6" s="195"/>
      <c r="H6" s="195"/>
      <c r="I6" s="33"/>
    </row>
    <row r="7" spans="1:12">
      <c r="A7" s="195"/>
      <c r="B7" s="195"/>
      <c r="C7" s="195"/>
      <c r="D7" s="195"/>
      <c r="E7" s="195"/>
      <c r="F7" s="195"/>
      <c r="G7" s="195"/>
      <c r="H7" s="195"/>
    </row>
    <row r="8" spans="1:12" ht="12.75" customHeight="1">
      <c r="A8" s="33"/>
      <c r="B8" s="33"/>
      <c r="C8" s="33"/>
      <c r="D8" s="33"/>
      <c r="E8" s="33"/>
      <c r="F8" s="33"/>
      <c r="G8" s="33"/>
      <c r="H8" s="33"/>
    </row>
    <row r="9" spans="1:12">
      <c r="A9" s="1"/>
      <c r="B9" s="2"/>
      <c r="C9" s="3"/>
      <c r="D9" s="43"/>
      <c r="E9" s="110"/>
      <c r="F9" s="110"/>
      <c r="G9" s="110"/>
      <c r="H9" s="109" t="s">
        <v>266</v>
      </c>
    </row>
    <row r="10" spans="1:12" ht="12.75" customHeight="1">
      <c r="A10" s="192" t="s">
        <v>0</v>
      </c>
      <c r="B10" s="209" t="s">
        <v>1</v>
      </c>
      <c r="C10" s="192" t="s">
        <v>49</v>
      </c>
      <c r="D10" s="204" t="s">
        <v>2</v>
      </c>
      <c r="E10" s="196" t="s">
        <v>64</v>
      </c>
      <c r="F10" s="197"/>
      <c r="G10" s="197"/>
      <c r="H10" s="198"/>
    </row>
    <row r="11" spans="1:12" ht="25.5" customHeight="1">
      <c r="A11" s="199"/>
      <c r="B11" s="210"/>
      <c r="C11" s="199"/>
      <c r="D11" s="205"/>
      <c r="E11" s="192" t="s">
        <v>3</v>
      </c>
      <c r="F11" s="214" t="s">
        <v>4</v>
      </c>
      <c r="G11" s="214"/>
      <c r="H11" s="215"/>
    </row>
    <row r="12" spans="1:12">
      <c r="A12" s="199"/>
      <c r="B12" s="210"/>
      <c r="C12" s="199"/>
      <c r="D12" s="205"/>
      <c r="E12" s="199"/>
      <c r="F12" s="216" t="s">
        <v>128</v>
      </c>
      <c r="G12" s="216"/>
      <c r="H12" s="192" t="s">
        <v>50</v>
      </c>
    </row>
    <row r="13" spans="1:12" ht="25.5">
      <c r="A13" s="200"/>
      <c r="B13" s="211"/>
      <c r="C13" s="200"/>
      <c r="D13" s="206"/>
      <c r="E13" s="200"/>
      <c r="F13" s="92" t="s">
        <v>129</v>
      </c>
      <c r="G13" s="94" t="s">
        <v>8</v>
      </c>
      <c r="H13" s="200"/>
    </row>
    <row r="14" spans="1:12">
      <c r="A14" s="5">
        <v>1</v>
      </c>
      <c r="B14" s="6" t="s">
        <v>5</v>
      </c>
      <c r="C14" s="4">
        <v>3</v>
      </c>
      <c r="D14" s="6" t="s">
        <v>6</v>
      </c>
      <c r="E14" s="4">
        <v>5</v>
      </c>
      <c r="F14" s="4">
        <v>6</v>
      </c>
      <c r="G14" s="4">
        <v>7</v>
      </c>
      <c r="H14" s="4">
        <v>8</v>
      </c>
    </row>
    <row r="15" spans="1:12" ht="25.5">
      <c r="A15" s="37" t="s">
        <v>84</v>
      </c>
      <c r="B15" s="87" t="s">
        <v>10</v>
      </c>
      <c r="C15" s="17" t="s">
        <v>11</v>
      </c>
      <c r="D15" s="12"/>
      <c r="E15" s="82">
        <f>SUM(E16:E36)</f>
        <v>4580500</v>
      </c>
      <c r="F15" s="82">
        <f>SUM(F16:F36)</f>
        <v>4534900</v>
      </c>
      <c r="G15" s="82">
        <f>SUM(G16:G36)</f>
        <v>2476200</v>
      </c>
      <c r="H15" s="82">
        <f>SUM(H16:H36)</f>
        <v>45600</v>
      </c>
      <c r="L15" s="47"/>
    </row>
    <row r="16" spans="1:12">
      <c r="A16" s="32" t="s">
        <v>85</v>
      </c>
      <c r="B16" s="12" t="s">
        <v>29</v>
      </c>
      <c r="C16" s="18" t="s">
        <v>12</v>
      </c>
      <c r="D16" s="12" t="s">
        <v>69</v>
      </c>
      <c r="E16" s="20">
        <v>335100</v>
      </c>
      <c r="F16" s="20">
        <f t="shared" ref="F16:F27" si="0">E16-H16</f>
        <v>323100</v>
      </c>
      <c r="G16" s="20">
        <v>136800</v>
      </c>
      <c r="H16" s="20">
        <v>12000</v>
      </c>
    </row>
    <row r="17" spans="1:8">
      <c r="A17" s="32" t="s">
        <v>86</v>
      </c>
      <c r="B17" s="12" t="s">
        <v>30</v>
      </c>
      <c r="C17" s="18" t="s">
        <v>248</v>
      </c>
      <c r="D17" s="12" t="s">
        <v>70</v>
      </c>
      <c r="E17" s="20">
        <v>245500</v>
      </c>
      <c r="F17" s="20">
        <f t="shared" si="0"/>
        <v>245500</v>
      </c>
      <c r="G17" s="20">
        <v>105800</v>
      </c>
      <c r="H17" s="20"/>
    </row>
    <row r="18" spans="1:8">
      <c r="A18" s="37" t="s">
        <v>87</v>
      </c>
      <c r="B18" s="42" t="s">
        <v>31</v>
      </c>
      <c r="C18" s="18" t="s">
        <v>262</v>
      </c>
      <c r="D18" s="42" t="s">
        <v>70</v>
      </c>
      <c r="E18" s="41">
        <v>298500</v>
      </c>
      <c r="F18" s="41">
        <f t="shared" si="0"/>
        <v>291500</v>
      </c>
      <c r="G18" s="41">
        <v>141900</v>
      </c>
      <c r="H18" s="41">
        <v>7000</v>
      </c>
    </row>
    <row r="19" spans="1:8" ht="25.5">
      <c r="A19" s="37" t="s">
        <v>88</v>
      </c>
      <c r="B19" s="42" t="s">
        <v>32</v>
      </c>
      <c r="C19" s="18" t="s">
        <v>249</v>
      </c>
      <c r="D19" s="42" t="s">
        <v>70</v>
      </c>
      <c r="E19" s="41">
        <v>249000</v>
      </c>
      <c r="F19" s="41">
        <f t="shared" si="0"/>
        <v>248000</v>
      </c>
      <c r="G19" s="41">
        <v>117800</v>
      </c>
      <c r="H19" s="41">
        <v>1000</v>
      </c>
    </row>
    <row r="20" spans="1:8">
      <c r="A20" s="37" t="s">
        <v>89</v>
      </c>
      <c r="B20" s="42" t="s">
        <v>33</v>
      </c>
      <c r="C20" s="18" t="s">
        <v>263</v>
      </c>
      <c r="D20" s="42" t="s">
        <v>70</v>
      </c>
      <c r="E20" s="41">
        <v>312000</v>
      </c>
      <c r="F20" s="41">
        <f t="shared" si="0"/>
        <v>312000</v>
      </c>
      <c r="G20" s="41">
        <v>150600</v>
      </c>
      <c r="H20" s="41"/>
    </row>
    <row r="21" spans="1:8" ht="12.75" customHeight="1">
      <c r="A21" s="37" t="s">
        <v>90</v>
      </c>
      <c r="B21" s="42" t="s">
        <v>34</v>
      </c>
      <c r="C21" s="18" t="s">
        <v>264</v>
      </c>
      <c r="D21" s="42" t="s">
        <v>70</v>
      </c>
      <c r="E21" s="41">
        <v>271600</v>
      </c>
      <c r="F21" s="41">
        <f t="shared" si="0"/>
        <v>260700</v>
      </c>
      <c r="G21" s="41">
        <v>111400</v>
      </c>
      <c r="H21" s="41">
        <f>4000+6900</f>
        <v>10900</v>
      </c>
    </row>
    <row r="22" spans="1:8">
      <c r="A22" s="37" t="s">
        <v>91</v>
      </c>
      <c r="B22" s="42" t="s">
        <v>35</v>
      </c>
      <c r="C22" s="18" t="s">
        <v>258</v>
      </c>
      <c r="D22" s="42" t="s">
        <v>70</v>
      </c>
      <c r="E22" s="41">
        <v>240800</v>
      </c>
      <c r="F22" s="41">
        <f t="shared" si="0"/>
        <v>240800</v>
      </c>
      <c r="G22" s="41">
        <v>120900</v>
      </c>
      <c r="H22" s="41"/>
    </row>
    <row r="23" spans="1:8" ht="12.75" customHeight="1">
      <c r="A23" s="37" t="s">
        <v>92</v>
      </c>
      <c r="B23" s="42" t="s">
        <v>36</v>
      </c>
      <c r="C23" s="18" t="s">
        <v>13</v>
      </c>
      <c r="D23" s="42" t="s">
        <v>70</v>
      </c>
      <c r="E23" s="41">
        <v>197600</v>
      </c>
      <c r="F23" s="41">
        <f t="shared" si="0"/>
        <v>196800</v>
      </c>
      <c r="G23" s="41">
        <v>108900</v>
      </c>
      <c r="H23" s="41">
        <v>800</v>
      </c>
    </row>
    <row r="24" spans="1:8" ht="25.5">
      <c r="A24" s="37" t="s">
        <v>93</v>
      </c>
      <c r="B24" s="42" t="s">
        <v>37</v>
      </c>
      <c r="C24" s="18" t="s">
        <v>250</v>
      </c>
      <c r="D24" s="42" t="s">
        <v>70</v>
      </c>
      <c r="E24" s="41">
        <v>110800</v>
      </c>
      <c r="F24" s="41">
        <f t="shared" si="0"/>
        <v>110800</v>
      </c>
      <c r="G24" s="41">
        <v>57600</v>
      </c>
      <c r="H24" s="41"/>
    </row>
    <row r="25" spans="1:8">
      <c r="A25" s="37" t="s">
        <v>94</v>
      </c>
      <c r="B25" s="42" t="s">
        <v>38</v>
      </c>
      <c r="C25" s="18" t="s">
        <v>251</v>
      </c>
      <c r="D25" s="42" t="s">
        <v>70</v>
      </c>
      <c r="E25" s="41">
        <v>166000</v>
      </c>
      <c r="F25" s="41">
        <f t="shared" si="0"/>
        <v>166000</v>
      </c>
      <c r="G25" s="41">
        <v>81200</v>
      </c>
      <c r="H25" s="41"/>
    </row>
    <row r="26" spans="1:8">
      <c r="A26" s="37" t="s">
        <v>95</v>
      </c>
      <c r="B26" s="42" t="s">
        <v>39</v>
      </c>
      <c r="C26" s="18" t="s">
        <v>252</v>
      </c>
      <c r="D26" s="42" t="s">
        <v>70</v>
      </c>
      <c r="E26" s="41">
        <v>163400</v>
      </c>
      <c r="F26" s="41">
        <f t="shared" si="0"/>
        <v>163400</v>
      </c>
      <c r="G26" s="41">
        <v>82800</v>
      </c>
      <c r="H26" s="41"/>
    </row>
    <row r="27" spans="1:8">
      <c r="A27" s="37" t="s">
        <v>96</v>
      </c>
      <c r="B27" s="42" t="s">
        <v>40</v>
      </c>
      <c r="C27" s="18" t="s">
        <v>265</v>
      </c>
      <c r="D27" s="42" t="s">
        <v>70</v>
      </c>
      <c r="E27" s="41">
        <v>122300</v>
      </c>
      <c r="F27" s="41">
        <f t="shared" si="0"/>
        <v>122300</v>
      </c>
      <c r="G27" s="41">
        <v>65200</v>
      </c>
      <c r="H27" s="41"/>
    </row>
    <row r="28" spans="1:8">
      <c r="A28" s="32" t="s">
        <v>97</v>
      </c>
      <c r="B28" s="12" t="s">
        <v>41</v>
      </c>
      <c r="C28" s="18" t="s">
        <v>14</v>
      </c>
      <c r="D28" s="12" t="s">
        <v>70</v>
      </c>
      <c r="E28" s="20">
        <v>247400</v>
      </c>
      <c r="F28" s="20">
        <f>E28-H28</f>
        <v>245400</v>
      </c>
      <c r="G28" s="20">
        <v>139900</v>
      </c>
      <c r="H28" s="20">
        <v>2000</v>
      </c>
    </row>
    <row r="29" spans="1:8">
      <c r="A29" s="32" t="s">
        <v>98</v>
      </c>
      <c r="B29" s="12" t="s">
        <v>42</v>
      </c>
      <c r="C29" s="18" t="s">
        <v>15</v>
      </c>
      <c r="D29" s="12" t="s">
        <v>70</v>
      </c>
      <c r="E29" s="20">
        <v>381800</v>
      </c>
      <c r="F29" s="20">
        <f>E29-H29</f>
        <v>381800</v>
      </c>
      <c r="G29" s="20">
        <v>242500</v>
      </c>
      <c r="H29" s="20"/>
    </row>
    <row r="30" spans="1:8">
      <c r="A30" s="32" t="s">
        <v>99</v>
      </c>
      <c r="B30" s="12" t="s">
        <v>43</v>
      </c>
      <c r="C30" s="18" t="s">
        <v>123</v>
      </c>
      <c r="D30" s="12" t="s">
        <v>70</v>
      </c>
      <c r="E30" s="20">
        <v>176900</v>
      </c>
      <c r="F30" s="20">
        <f>E30-H30</f>
        <v>176900</v>
      </c>
      <c r="G30" s="20">
        <v>101500</v>
      </c>
      <c r="H30" s="20"/>
    </row>
    <row r="31" spans="1:8" ht="12.75" customHeight="1">
      <c r="A31" s="37" t="s">
        <v>100</v>
      </c>
      <c r="B31" s="42" t="s">
        <v>44</v>
      </c>
      <c r="C31" s="18" t="s">
        <v>253</v>
      </c>
      <c r="D31" s="12" t="s">
        <v>70</v>
      </c>
      <c r="E31" s="41">
        <v>155100</v>
      </c>
      <c r="F31" s="41">
        <f>E31-H31</f>
        <v>154100</v>
      </c>
      <c r="G31" s="41">
        <v>112700</v>
      </c>
      <c r="H31" s="41">
        <v>1000</v>
      </c>
    </row>
    <row r="32" spans="1:8" ht="12.75" customHeight="1">
      <c r="A32" s="32" t="s">
        <v>101</v>
      </c>
      <c r="B32" s="12" t="s">
        <v>45</v>
      </c>
      <c r="C32" s="18" t="s">
        <v>52</v>
      </c>
      <c r="D32" s="12" t="s">
        <v>70</v>
      </c>
      <c r="E32" s="20">
        <v>346000</v>
      </c>
      <c r="F32" s="41">
        <f t="shared" ref="F32:F38" si="1">E32-H32</f>
        <v>340500</v>
      </c>
      <c r="G32" s="20">
        <v>247500</v>
      </c>
      <c r="H32" s="20">
        <v>5500</v>
      </c>
    </row>
    <row r="33" spans="1:8" ht="25.5">
      <c r="A33" s="37" t="s">
        <v>102</v>
      </c>
      <c r="B33" s="42" t="s">
        <v>46</v>
      </c>
      <c r="C33" s="18" t="s">
        <v>247</v>
      </c>
      <c r="D33" s="42" t="s">
        <v>70</v>
      </c>
      <c r="E33" s="41">
        <v>152200</v>
      </c>
      <c r="F33" s="41">
        <f t="shared" si="1"/>
        <v>148200</v>
      </c>
      <c r="G33" s="41">
        <v>104600</v>
      </c>
      <c r="H33" s="41">
        <v>4000</v>
      </c>
    </row>
    <row r="34" spans="1:8" ht="25.5">
      <c r="A34" s="37" t="s">
        <v>103</v>
      </c>
      <c r="B34" s="42" t="s">
        <v>47</v>
      </c>
      <c r="C34" s="18" t="s">
        <v>65</v>
      </c>
      <c r="D34" s="42" t="s">
        <v>70</v>
      </c>
      <c r="E34" s="41">
        <v>271600</v>
      </c>
      <c r="F34" s="41">
        <f t="shared" si="1"/>
        <v>271600</v>
      </c>
      <c r="G34" s="41">
        <v>174000</v>
      </c>
      <c r="H34" s="41"/>
    </row>
    <row r="35" spans="1:8" ht="12.75" customHeight="1">
      <c r="A35" s="37" t="s">
        <v>105</v>
      </c>
      <c r="B35" s="42" t="s">
        <v>387</v>
      </c>
      <c r="C35" s="18" t="s">
        <v>377</v>
      </c>
      <c r="D35" s="42" t="s">
        <v>70</v>
      </c>
      <c r="E35" s="41">
        <v>119400</v>
      </c>
      <c r="F35" s="41">
        <f t="shared" si="1"/>
        <v>118000</v>
      </c>
      <c r="G35" s="41">
        <v>72600</v>
      </c>
      <c r="H35" s="41">
        <v>1400</v>
      </c>
    </row>
    <row r="36" spans="1:8" ht="12" customHeight="1">
      <c r="A36" s="37" t="s">
        <v>107</v>
      </c>
      <c r="B36" s="220" t="s">
        <v>51</v>
      </c>
      <c r="C36" s="18" t="s">
        <v>68</v>
      </c>
      <c r="D36" s="12"/>
      <c r="E36" s="41">
        <f>SUM(E37:E40)</f>
        <v>17500</v>
      </c>
      <c r="F36" s="41">
        <f>SUM(F37:F40)</f>
        <v>17500</v>
      </c>
      <c r="G36" s="41"/>
      <c r="H36" s="41"/>
    </row>
    <row r="37" spans="1:8" ht="25.5">
      <c r="A37" s="37" t="s">
        <v>108</v>
      </c>
      <c r="B37" s="221"/>
      <c r="C37" s="57" t="s">
        <v>271</v>
      </c>
      <c r="D37" s="116" t="s">
        <v>70</v>
      </c>
      <c r="E37" s="100">
        <v>4500</v>
      </c>
      <c r="F37" s="100">
        <f t="shared" si="1"/>
        <v>4500</v>
      </c>
      <c r="G37" s="41"/>
      <c r="H37" s="41"/>
    </row>
    <row r="38" spans="1:8">
      <c r="A38" s="37" t="s">
        <v>109</v>
      </c>
      <c r="B38" s="221"/>
      <c r="C38" s="57" t="s">
        <v>272</v>
      </c>
      <c r="D38" s="116" t="s">
        <v>70</v>
      </c>
      <c r="E38" s="100">
        <v>5000</v>
      </c>
      <c r="F38" s="100">
        <f t="shared" si="1"/>
        <v>5000</v>
      </c>
      <c r="G38" s="41"/>
      <c r="H38" s="41"/>
    </row>
    <row r="39" spans="1:8" ht="12.75" customHeight="1">
      <c r="A39" s="37" t="s">
        <v>185</v>
      </c>
      <c r="B39" s="221"/>
      <c r="C39" s="57" t="s">
        <v>273</v>
      </c>
      <c r="D39" s="116" t="s">
        <v>70</v>
      </c>
      <c r="E39" s="100">
        <v>4000</v>
      </c>
      <c r="F39" s="100">
        <f>E39-H39</f>
        <v>4000</v>
      </c>
      <c r="G39" s="41"/>
      <c r="H39" s="41"/>
    </row>
    <row r="40" spans="1:8">
      <c r="A40" s="37" t="s">
        <v>186</v>
      </c>
      <c r="B40" s="222"/>
      <c r="C40" s="57" t="s">
        <v>274</v>
      </c>
      <c r="D40" s="116" t="s">
        <v>70</v>
      </c>
      <c r="E40" s="100">
        <v>4000</v>
      </c>
      <c r="F40" s="100">
        <f>E40-H40</f>
        <v>4000</v>
      </c>
      <c r="G40" s="41"/>
      <c r="H40" s="41"/>
    </row>
    <row r="41" spans="1:8" ht="38.25">
      <c r="A41" s="39" t="s">
        <v>188</v>
      </c>
      <c r="B41" s="31" t="s">
        <v>9</v>
      </c>
      <c r="C41" s="8" t="s">
        <v>16</v>
      </c>
      <c r="D41" s="44"/>
      <c r="E41" s="83">
        <f>E42+E43+E44+E45+E46</f>
        <v>2350400</v>
      </c>
      <c r="F41" s="83">
        <f>F42+F43+F44+F45+F46</f>
        <v>2345400</v>
      </c>
      <c r="G41" s="83">
        <f>G42+G43+G44+G45+G46</f>
        <v>664100</v>
      </c>
      <c r="H41" s="83">
        <f>H42+H43+H44+H45+H46</f>
        <v>5000</v>
      </c>
    </row>
    <row r="42" spans="1:8" ht="25.5">
      <c r="A42" s="39" t="s">
        <v>189</v>
      </c>
      <c r="B42" s="40" t="s">
        <v>23</v>
      </c>
      <c r="C42" s="51" t="s">
        <v>17</v>
      </c>
      <c r="D42" s="39">
        <v>10</v>
      </c>
      <c r="E42" s="102">
        <v>333900</v>
      </c>
      <c r="F42" s="41">
        <f>E42-H42</f>
        <v>333900</v>
      </c>
      <c r="G42" s="125">
        <v>223700</v>
      </c>
      <c r="H42" s="102"/>
    </row>
    <row r="43" spans="1:8" ht="12.75" customHeight="1">
      <c r="A43" s="39" t="s">
        <v>190</v>
      </c>
      <c r="B43" s="50"/>
      <c r="C43" s="117" t="s">
        <v>236</v>
      </c>
      <c r="D43" s="107" t="s">
        <v>76</v>
      </c>
      <c r="E43" s="25">
        <v>31000</v>
      </c>
      <c r="F43" s="41">
        <f>E43-H43</f>
        <v>31000</v>
      </c>
      <c r="G43" s="28">
        <v>23200</v>
      </c>
      <c r="H43" s="25"/>
    </row>
    <row r="44" spans="1:8">
      <c r="A44" s="39" t="s">
        <v>191</v>
      </c>
      <c r="B44" s="50" t="s">
        <v>24</v>
      </c>
      <c r="C44" s="9" t="s">
        <v>82</v>
      </c>
      <c r="D44" s="38" t="s">
        <v>71</v>
      </c>
      <c r="E44" s="28">
        <v>127500</v>
      </c>
      <c r="F44" s="41">
        <f>E44-H44</f>
        <v>122500</v>
      </c>
      <c r="G44" s="28">
        <v>71100</v>
      </c>
      <c r="H44" s="25">
        <v>5000</v>
      </c>
    </row>
    <row r="45" spans="1:8">
      <c r="A45" s="39" t="s">
        <v>192</v>
      </c>
      <c r="B45" s="50" t="s">
        <v>25</v>
      </c>
      <c r="C45" s="9" t="s">
        <v>81</v>
      </c>
      <c r="D45" s="38" t="s">
        <v>71</v>
      </c>
      <c r="E45" s="28">
        <v>493700</v>
      </c>
      <c r="F45" s="41">
        <f>E45-H45</f>
        <v>493700</v>
      </c>
      <c r="G45" s="28">
        <v>346100</v>
      </c>
      <c r="H45" s="28"/>
    </row>
    <row r="46" spans="1:8" ht="12.75" customHeight="1">
      <c r="A46" s="39" t="s">
        <v>193</v>
      </c>
      <c r="B46" s="201" t="s">
        <v>136</v>
      </c>
      <c r="C46" s="11" t="s">
        <v>68</v>
      </c>
      <c r="D46" s="38"/>
      <c r="E46" s="28">
        <f>SUM(E47:E59)</f>
        <v>1364300</v>
      </c>
      <c r="F46" s="28">
        <f>SUM(F47:F59)</f>
        <v>1364300</v>
      </c>
      <c r="G46" s="28">
        <f>SUM(G47:G59)</f>
        <v>0</v>
      </c>
      <c r="H46" s="28">
        <f>SUM(H47:H59)</f>
        <v>0</v>
      </c>
    </row>
    <row r="47" spans="1:8" ht="27" customHeight="1">
      <c r="A47" s="37" t="s">
        <v>194</v>
      </c>
      <c r="B47" s="203"/>
      <c r="C47" s="137" t="s">
        <v>316</v>
      </c>
      <c r="D47" s="53" t="s">
        <v>71</v>
      </c>
      <c r="E47" s="58">
        <f>23000-4000</f>
        <v>19000</v>
      </c>
      <c r="F47" s="100">
        <f>E47-H47</f>
        <v>19000</v>
      </c>
      <c r="G47" s="54"/>
      <c r="H47" s="56"/>
    </row>
    <row r="48" spans="1:8" ht="25.5">
      <c r="A48" s="37" t="s">
        <v>195</v>
      </c>
      <c r="B48" s="203"/>
      <c r="C48" s="55" t="s">
        <v>275</v>
      </c>
      <c r="D48" s="53" t="s">
        <v>71</v>
      </c>
      <c r="E48" s="58">
        <v>10000</v>
      </c>
      <c r="F48" s="100">
        <f>E48-H48</f>
        <v>10000</v>
      </c>
      <c r="G48" s="54"/>
      <c r="H48" s="56"/>
    </row>
    <row r="49" spans="1:8" ht="25.5">
      <c r="A49" s="37" t="s">
        <v>196</v>
      </c>
      <c r="B49" s="203"/>
      <c r="C49" s="55" t="s">
        <v>276</v>
      </c>
      <c r="D49" s="53" t="s">
        <v>71</v>
      </c>
      <c r="E49" s="58">
        <v>15000</v>
      </c>
      <c r="F49" s="100">
        <f t="shared" ref="F49:F58" si="2">E49-H49</f>
        <v>15000</v>
      </c>
      <c r="G49" s="54"/>
      <c r="H49" s="56"/>
    </row>
    <row r="50" spans="1:8">
      <c r="A50" s="37" t="s">
        <v>197</v>
      </c>
      <c r="B50" s="203"/>
      <c r="C50" s="55" t="s">
        <v>270</v>
      </c>
      <c r="D50" s="53" t="s">
        <v>71</v>
      </c>
      <c r="E50" s="58">
        <v>645000</v>
      </c>
      <c r="F50" s="100">
        <f t="shared" si="2"/>
        <v>645000</v>
      </c>
      <c r="G50" s="54"/>
      <c r="H50" s="56"/>
    </row>
    <row r="51" spans="1:8">
      <c r="A51" s="37" t="s">
        <v>198</v>
      </c>
      <c r="B51" s="203"/>
      <c r="C51" s="55" t="s">
        <v>277</v>
      </c>
      <c r="D51" s="53" t="s">
        <v>71</v>
      </c>
      <c r="E51" s="58">
        <v>25000</v>
      </c>
      <c r="F51" s="100">
        <f t="shared" si="2"/>
        <v>25000</v>
      </c>
      <c r="G51" s="54"/>
      <c r="H51" s="54"/>
    </row>
    <row r="52" spans="1:8">
      <c r="A52" s="37" t="s">
        <v>199</v>
      </c>
      <c r="B52" s="203"/>
      <c r="C52" s="55" t="s">
        <v>278</v>
      </c>
      <c r="D52" s="53" t="s">
        <v>71</v>
      </c>
      <c r="E52" s="58">
        <v>1800</v>
      </c>
      <c r="F52" s="100">
        <f t="shared" si="2"/>
        <v>1800</v>
      </c>
      <c r="G52" s="54"/>
      <c r="H52" s="54"/>
    </row>
    <row r="53" spans="1:8">
      <c r="A53" s="37" t="s">
        <v>201</v>
      </c>
      <c r="B53" s="203"/>
      <c r="C53" s="55" t="s">
        <v>279</v>
      </c>
      <c r="D53" s="53" t="s">
        <v>71</v>
      </c>
      <c r="E53" s="58">
        <f>46000-6000</f>
        <v>40000</v>
      </c>
      <c r="F53" s="100">
        <f t="shared" si="2"/>
        <v>40000</v>
      </c>
      <c r="G53" s="54"/>
      <c r="H53" s="56"/>
    </row>
    <row r="54" spans="1:8" ht="25.5">
      <c r="A54" s="37" t="s">
        <v>202</v>
      </c>
      <c r="B54" s="203"/>
      <c r="C54" s="55" t="s">
        <v>322</v>
      </c>
      <c r="D54" s="53" t="s">
        <v>71</v>
      </c>
      <c r="E54" s="58">
        <f>22000+3800</f>
        <v>25800</v>
      </c>
      <c r="F54" s="100">
        <f t="shared" si="2"/>
        <v>25800</v>
      </c>
      <c r="G54" s="54"/>
      <c r="H54" s="56"/>
    </row>
    <row r="55" spans="1:8">
      <c r="A55" s="37" t="s">
        <v>203</v>
      </c>
      <c r="B55" s="203"/>
      <c r="C55" s="55" t="s">
        <v>280</v>
      </c>
      <c r="D55" s="53" t="s">
        <v>71</v>
      </c>
      <c r="E55" s="58">
        <f>60000-3800</f>
        <v>56200</v>
      </c>
      <c r="F55" s="100">
        <f t="shared" si="2"/>
        <v>56200</v>
      </c>
      <c r="G55" s="54"/>
      <c r="H55" s="56"/>
    </row>
    <row r="56" spans="1:8" ht="25.5">
      <c r="A56" s="37" t="s">
        <v>204</v>
      </c>
      <c r="B56" s="203"/>
      <c r="C56" s="55" t="s">
        <v>323</v>
      </c>
      <c r="D56" s="53" t="s">
        <v>71</v>
      </c>
      <c r="E56" s="58">
        <v>10000</v>
      </c>
      <c r="F56" s="100">
        <f t="shared" si="2"/>
        <v>10000</v>
      </c>
      <c r="G56" s="54"/>
      <c r="H56" s="56"/>
    </row>
    <row r="57" spans="1:8" ht="12.75" customHeight="1">
      <c r="A57" s="37" t="s">
        <v>205</v>
      </c>
      <c r="B57" s="203"/>
      <c r="C57" s="55" t="s">
        <v>281</v>
      </c>
      <c r="D57" s="53" t="s">
        <v>71</v>
      </c>
      <c r="E57" s="58">
        <f>425000+11000</f>
        <v>436000</v>
      </c>
      <c r="F57" s="100">
        <f t="shared" si="2"/>
        <v>436000</v>
      </c>
      <c r="G57" s="54"/>
      <c r="H57" s="56"/>
    </row>
    <row r="58" spans="1:8" ht="12.75" customHeight="1">
      <c r="A58" s="37"/>
      <c r="B58" s="203"/>
      <c r="C58" s="55" t="s">
        <v>388</v>
      </c>
      <c r="D58" s="53" t="s">
        <v>71</v>
      </c>
      <c r="E58" s="58">
        <f>5500+3000</f>
        <v>8500</v>
      </c>
      <c r="F58" s="100">
        <f t="shared" si="2"/>
        <v>8500</v>
      </c>
      <c r="G58" s="54"/>
      <c r="H58" s="56"/>
    </row>
    <row r="59" spans="1:8">
      <c r="A59" s="37" t="s">
        <v>206</v>
      </c>
      <c r="B59" s="203"/>
      <c r="C59" s="55" t="s">
        <v>282</v>
      </c>
      <c r="D59" s="53" t="s">
        <v>71</v>
      </c>
      <c r="E59" s="58">
        <f>80000-8000</f>
        <v>72000</v>
      </c>
      <c r="F59" s="100">
        <f>E59-H59</f>
        <v>72000</v>
      </c>
      <c r="G59" s="54"/>
      <c r="H59" s="56"/>
    </row>
    <row r="60" spans="1:8" ht="38.25">
      <c r="A60" s="37" t="s">
        <v>207</v>
      </c>
      <c r="B60" s="62" t="s">
        <v>53</v>
      </c>
      <c r="C60" s="22" t="s">
        <v>268</v>
      </c>
      <c r="D60" s="46"/>
      <c r="E60" s="83">
        <f>SUM(E61:E68)</f>
        <v>1751100</v>
      </c>
      <c r="F60" s="83">
        <f>SUM(F61:F68)</f>
        <v>1692100</v>
      </c>
      <c r="G60" s="83">
        <f>SUM(G61:G68)</f>
        <v>856800</v>
      </c>
      <c r="H60" s="83">
        <f>SUM(H61:H68)</f>
        <v>59000</v>
      </c>
    </row>
    <row r="61" spans="1:8">
      <c r="A61" s="37" t="s">
        <v>208</v>
      </c>
      <c r="B61" s="36" t="s">
        <v>57</v>
      </c>
      <c r="C61" s="9" t="s">
        <v>54</v>
      </c>
      <c r="D61" s="45" t="s">
        <v>74</v>
      </c>
      <c r="E61" s="23">
        <v>161100</v>
      </c>
      <c r="F61" s="41">
        <f t="shared" ref="F61:F67" si="3">E61-H61</f>
        <v>158100</v>
      </c>
      <c r="G61" s="23">
        <v>107400</v>
      </c>
      <c r="H61" s="23">
        <v>3000</v>
      </c>
    </row>
    <row r="62" spans="1:8" ht="25.5">
      <c r="A62" s="37" t="s">
        <v>209</v>
      </c>
      <c r="B62" s="36" t="s">
        <v>58</v>
      </c>
      <c r="C62" s="9" t="s">
        <v>243</v>
      </c>
      <c r="D62" s="38" t="s">
        <v>74</v>
      </c>
      <c r="E62" s="28">
        <v>557600</v>
      </c>
      <c r="F62" s="41">
        <f t="shared" si="3"/>
        <v>537600</v>
      </c>
      <c r="G62" s="28">
        <v>354900</v>
      </c>
      <c r="H62" s="28">
        <v>20000</v>
      </c>
    </row>
    <row r="63" spans="1:8">
      <c r="A63" s="37" t="s">
        <v>210</v>
      </c>
      <c r="B63" s="36" t="s">
        <v>59</v>
      </c>
      <c r="C63" s="60" t="s">
        <v>73</v>
      </c>
      <c r="D63" s="38" t="s">
        <v>74</v>
      </c>
      <c r="E63" s="28">
        <v>446600</v>
      </c>
      <c r="F63" s="41">
        <f t="shared" si="3"/>
        <v>416600</v>
      </c>
      <c r="G63" s="28">
        <v>222600</v>
      </c>
      <c r="H63" s="28">
        <v>30000</v>
      </c>
    </row>
    <row r="64" spans="1:8" ht="12.75" customHeight="1">
      <c r="A64" s="37" t="s">
        <v>211</v>
      </c>
      <c r="B64" s="36" t="s">
        <v>60</v>
      </c>
      <c r="C64" s="9" t="s">
        <v>137</v>
      </c>
      <c r="D64" s="38" t="s">
        <v>74</v>
      </c>
      <c r="E64" s="28">
        <v>70000</v>
      </c>
      <c r="F64" s="41">
        <f t="shared" si="3"/>
        <v>68500</v>
      </c>
      <c r="G64" s="28">
        <v>44500</v>
      </c>
      <c r="H64" s="28">
        <v>1500</v>
      </c>
    </row>
    <row r="65" spans="1:8">
      <c r="A65" s="37" t="s">
        <v>212</v>
      </c>
      <c r="B65" s="36" t="s">
        <v>61</v>
      </c>
      <c r="C65" s="60" t="s">
        <v>55</v>
      </c>
      <c r="D65" s="38" t="s">
        <v>74</v>
      </c>
      <c r="E65" s="28">
        <v>69600</v>
      </c>
      <c r="F65" s="41">
        <f t="shared" si="3"/>
        <v>67600</v>
      </c>
      <c r="G65" s="28">
        <v>42400</v>
      </c>
      <c r="H65" s="28">
        <v>2000</v>
      </c>
    </row>
    <row r="66" spans="1:8" ht="12.75" customHeight="1">
      <c r="A66" s="37">
        <v>56</v>
      </c>
      <c r="B66" s="36" t="s">
        <v>62</v>
      </c>
      <c r="C66" s="9" t="s">
        <v>237</v>
      </c>
      <c r="D66" s="38" t="s">
        <v>74</v>
      </c>
      <c r="E66" s="28">
        <v>72600</v>
      </c>
      <c r="F66" s="41">
        <f t="shared" si="3"/>
        <v>71600</v>
      </c>
      <c r="G66" s="28">
        <v>43400</v>
      </c>
      <c r="H66" s="28">
        <v>1000</v>
      </c>
    </row>
    <row r="67" spans="1:8">
      <c r="A67" s="37" t="s">
        <v>214</v>
      </c>
      <c r="B67" s="36" t="s">
        <v>63</v>
      </c>
      <c r="C67" s="9" t="s">
        <v>56</v>
      </c>
      <c r="D67" s="38" t="s">
        <v>74</v>
      </c>
      <c r="E67" s="28">
        <f>78100+1500</f>
        <v>79600</v>
      </c>
      <c r="F67" s="41">
        <f t="shared" si="3"/>
        <v>78100</v>
      </c>
      <c r="G67" s="28">
        <v>41600</v>
      </c>
      <c r="H67" s="28">
        <v>1500</v>
      </c>
    </row>
    <row r="68" spans="1:8" ht="12.75" customHeight="1">
      <c r="A68" s="37" t="s">
        <v>215</v>
      </c>
      <c r="B68" s="201" t="s">
        <v>72</v>
      </c>
      <c r="C68" s="18" t="s">
        <v>18</v>
      </c>
      <c r="D68" s="38"/>
      <c r="E68" s="28">
        <f>SUM(E69:E74)</f>
        <v>294000</v>
      </c>
      <c r="F68" s="28">
        <f>SUM(F69:F74)</f>
        <v>294000</v>
      </c>
      <c r="G68" s="28">
        <f>SUM(G69:G74)</f>
        <v>0</v>
      </c>
      <c r="H68" s="28">
        <f>SUM(H69:H74)</f>
        <v>0</v>
      </c>
    </row>
    <row r="69" spans="1:8" ht="12.75" customHeight="1">
      <c r="A69" s="37" t="s">
        <v>216</v>
      </c>
      <c r="B69" s="203"/>
      <c r="C69" s="57" t="s">
        <v>283</v>
      </c>
      <c r="D69" s="53" t="s">
        <v>10</v>
      </c>
      <c r="E69" s="58">
        <v>5000</v>
      </c>
      <c r="F69" s="95">
        <f t="shared" ref="F69:F74" si="4">E69-H69</f>
        <v>5000</v>
      </c>
      <c r="G69" s="58"/>
      <c r="H69" s="58"/>
    </row>
    <row r="70" spans="1:8" ht="51">
      <c r="A70" s="37" t="s">
        <v>217</v>
      </c>
      <c r="B70" s="203"/>
      <c r="C70" s="89" t="s">
        <v>284</v>
      </c>
      <c r="D70" s="84" t="s">
        <v>75</v>
      </c>
      <c r="E70" s="101">
        <f>229000+4000</f>
        <v>233000</v>
      </c>
      <c r="F70" s="181">
        <f t="shared" si="4"/>
        <v>233000</v>
      </c>
      <c r="G70" s="101"/>
      <c r="H70" s="101"/>
    </row>
    <row r="71" spans="1:8">
      <c r="A71" s="37" t="s">
        <v>219</v>
      </c>
      <c r="B71" s="203"/>
      <c r="C71" s="57" t="s">
        <v>125</v>
      </c>
      <c r="D71" s="53" t="s">
        <v>74</v>
      </c>
      <c r="E71" s="58">
        <v>16000</v>
      </c>
      <c r="F71" s="95">
        <f t="shared" si="4"/>
        <v>16000</v>
      </c>
      <c r="G71" s="58"/>
      <c r="H71" s="58"/>
    </row>
    <row r="72" spans="1:8" ht="12.75" customHeight="1">
      <c r="A72" s="37" t="s">
        <v>220</v>
      </c>
      <c r="B72" s="203"/>
      <c r="C72" s="57" t="s">
        <v>285</v>
      </c>
      <c r="D72" s="53" t="s">
        <v>74</v>
      </c>
      <c r="E72" s="58">
        <v>30000</v>
      </c>
      <c r="F72" s="95">
        <f t="shared" si="4"/>
        <v>30000</v>
      </c>
      <c r="G72" s="58"/>
      <c r="H72" s="58"/>
    </row>
    <row r="73" spans="1:8" ht="12.75" customHeight="1">
      <c r="A73" s="37" t="s">
        <v>221</v>
      </c>
      <c r="B73" s="203"/>
      <c r="C73" s="57" t="s">
        <v>124</v>
      </c>
      <c r="D73" s="53" t="s">
        <v>74</v>
      </c>
      <c r="E73" s="58">
        <v>2000</v>
      </c>
      <c r="F73" s="95">
        <f t="shared" si="4"/>
        <v>2000</v>
      </c>
      <c r="G73" s="58"/>
      <c r="H73" s="58"/>
    </row>
    <row r="74" spans="1:8">
      <c r="A74" s="37" t="s">
        <v>222</v>
      </c>
      <c r="B74" s="203"/>
      <c r="C74" s="57" t="s">
        <v>286</v>
      </c>
      <c r="D74" s="53" t="s">
        <v>74</v>
      </c>
      <c r="E74" s="58">
        <v>8000</v>
      </c>
      <c r="F74" s="95">
        <f t="shared" si="4"/>
        <v>8000</v>
      </c>
      <c r="G74" s="58"/>
      <c r="H74" s="58"/>
    </row>
    <row r="75" spans="1:8" ht="38.25">
      <c r="A75" s="37" t="s">
        <v>223</v>
      </c>
      <c r="B75" s="62" t="s">
        <v>19</v>
      </c>
      <c r="C75" s="22" t="s">
        <v>20</v>
      </c>
      <c r="D75" s="45"/>
      <c r="E75" s="83">
        <f>SUM(E76+E84+E85+E86)</f>
        <v>3085200</v>
      </c>
      <c r="F75" s="83">
        <f>SUM(F76+F84+F85+F86)</f>
        <v>2679500</v>
      </c>
      <c r="G75" s="83">
        <f>SUM(G76+G84+G85+G86)</f>
        <v>1392000</v>
      </c>
      <c r="H75" s="83">
        <f>SUM(H76+H84+H85+H86)</f>
        <v>405700</v>
      </c>
    </row>
    <row r="76" spans="1:8" ht="12.75" customHeight="1">
      <c r="A76" s="37" t="s">
        <v>224</v>
      </c>
      <c r="B76" s="201" t="s">
        <v>26</v>
      </c>
      <c r="C76" s="9" t="s">
        <v>68</v>
      </c>
      <c r="D76" s="45"/>
      <c r="E76" s="28">
        <f>SUM(E77:E83)</f>
        <v>2520900</v>
      </c>
      <c r="F76" s="28">
        <f>SUM(F77:F83)</f>
        <v>2488900</v>
      </c>
      <c r="G76" s="28">
        <f>SUM(G77:G83)</f>
        <v>1330500</v>
      </c>
      <c r="H76" s="28">
        <f>SUM(H77:H83)</f>
        <v>32000</v>
      </c>
    </row>
    <row r="77" spans="1:8" ht="12.75" customHeight="1">
      <c r="A77" s="37" t="s">
        <v>225</v>
      </c>
      <c r="B77" s="203"/>
      <c r="C77" s="55" t="s">
        <v>259</v>
      </c>
      <c r="D77" s="59" t="s">
        <v>10</v>
      </c>
      <c r="E77" s="54">
        <v>291800</v>
      </c>
      <c r="F77" s="95">
        <f t="shared" ref="F77:F86" si="5">E77-H77</f>
        <v>289800</v>
      </c>
      <c r="G77" s="61">
        <v>110500</v>
      </c>
      <c r="H77" s="61">
        <v>2000</v>
      </c>
    </row>
    <row r="78" spans="1:8" ht="25.5">
      <c r="A78" s="37" t="s">
        <v>226</v>
      </c>
      <c r="B78" s="203"/>
      <c r="C78" s="55" t="s">
        <v>18</v>
      </c>
      <c r="D78" s="53" t="s">
        <v>10</v>
      </c>
      <c r="E78" s="58">
        <v>1991000</v>
      </c>
      <c r="F78" s="100">
        <f t="shared" si="5"/>
        <v>1961000</v>
      </c>
      <c r="G78" s="85">
        <v>1220000</v>
      </c>
      <c r="H78" s="85">
        <v>30000</v>
      </c>
    </row>
    <row r="79" spans="1:8" ht="25.5">
      <c r="A79" s="37" t="s">
        <v>227</v>
      </c>
      <c r="B79" s="203"/>
      <c r="C79" s="55" t="s">
        <v>133</v>
      </c>
      <c r="D79" s="53" t="s">
        <v>53</v>
      </c>
      <c r="E79" s="58">
        <v>3000</v>
      </c>
      <c r="F79" s="100">
        <f t="shared" si="5"/>
        <v>3000</v>
      </c>
      <c r="G79" s="28"/>
      <c r="H79" s="28"/>
    </row>
    <row r="80" spans="1:8">
      <c r="A80" s="37" t="s">
        <v>228</v>
      </c>
      <c r="B80" s="203"/>
      <c r="C80" s="9" t="s">
        <v>134</v>
      </c>
      <c r="D80" s="59" t="s">
        <v>10</v>
      </c>
      <c r="E80" s="58">
        <v>10100</v>
      </c>
      <c r="F80" s="100">
        <f t="shared" si="5"/>
        <v>10100</v>
      </c>
      <c r="G80" s="28"/>
      <c r="H80" s="28"/>
    </row>
    <row r="81" spans="1:12">
      <c r="A81" s="37" t="s">
        <v>229</v>
      </c>
      <c r="B81" s="203"/>
      <c r="C81" s="55" t="s">
        <v>326</v>
      </c>
      <c r="D81" s="59" t="s">
        <v>10</v>
      </c>
      <c r="E81" s="58">
        <v>5000</v>
      </c>
      <c r="F81" s="100">
        <f t="shared" si="5"/>
        <v>5000</v>
      </c>
      <c r="G81" s="28"/>
      <c r="H81" s="28"/>
    </row>
    <row r="82" spans="1:12" ht="12.75" customHeight="1">
      <c r="A82" s="37" t="s">
        <v>230</v>
      </c>
      <c r="B82" s="203"/>
      <c r="C82" s="55" t="s">
        <v>287</v>
      </c>
      <c r="D82" s="53" t="s">
        <v>10</v>
      </c>
      <c r="E82" s="58">
        <v>20000</v>
      </c>
      <c r="F82" s="100">
        <f t="shared" si="5"/>
        <v>20000</v>
      </c>
      <c r="G82" s="61"/>
      <c r="H82" s="61"/>
    </row>
    <row r="83" spans="1:12">
      <c r="A83" s="37" t="s">
        <v>231</v>
      </c>
      <c r="B83" s="203"/>
      <c r="C83" s="55" t="s">
        <v>288</v>
      </c>
      <c r="D83" s="53" t="s">
        <v>10</v>
      </c>
      <c r="E83" s="58">
        <v>200000</v>
      </c>
      <c r="F83" s="100">
        <f t="shared" si="5"/>
        <v>200000</v>
      </c>
      <c r="G83" s="85"/>
      <c r="H83" s="85"/>
    </row>
    <row r="84" spans="1:12" ht="12.75" customHeight="1">
      <c r="A84" s="37" t="s">
        <v>232</v>
      </c>
      <c r="B84" s="40" t="s">
        <v>27</v>
      </c>
      <c r="C84" s="9" t="s">
        <v>238</v>
      </c>
      <c r="D84" s="38" t="s">
        <v>10</v>
      </c>
      <c r="E84" s="25">
        <v>71800</v>
      </c>
      <c r="F84" s="41">
        <f t="shared" si="5"/>
        <v>71800</v>
      </c>
      <c r="G84" s="28">
        <v>53300</v>
      </c>
      <c r="H84" s="85"/>
    </row>
    <row r="85" spans="1:12" ht="25.5" customHeight="1">
      <c r="A85" s="37" t="s">
        <v>245</v>
      </c>
      <c r="B85" s="36" t="s">
        <v>66</v>
      </c>
      <c r="C85" s="9" t="s">
        <v>239</v>
      </c>
      <c r="D85" s="38" t="s">
        <v>10</v>
      </c>
      <c r="E85" s="25">
        <v>442000</v>
      </c>
      <c r="F85" s="41">
        <f t="shared" si="5"/>
        <v>68300</v>
      </c>
      <c r="G85" s="29"/>
      <c r="H85" s="25">
        <v>373700</v>
      </c>
    </row>
    <row r="86" spans="1:12" ht="12.75" customHeight="1">
      <c r="A86" s="37" t="s">
        <v>233</v>
      </c>
      <c r="B86" s="36" t="s">
        <v>67</v>
      </c>
      <c r="C86" s="60" t="s">
        <v>21</v>
      </c>
      <c r="D86" s="38" t="s">
        <v>53</v>
      </c>
      <c r="E86" s="25">
        <v>50500</v>
      </c>
      <c r="F86" s="20">
        <f t="shared" si="5"/>
        <v>50500</v>
      </c>
      <c r="G86" s="28">
        <v>8200</v>
      </c>
      <c r="H86" s="25"/>
    </row>
    <row r="87" spans="1:12" ht="24.75" customHeight="1">
      <c r="A87" s="37" t="s">
        <v>246</v>
      </c>
      <c r="B87" s="31" t="s">
        <v>22</v>
      </c>
      <c r="C87" s="49" t="s">
        <v>111</v>
      </c>
      <c r="D87" s="30"/>
      <c r="E87" s="30">
        <f>SUM(E88)</f>
        <v>939200</v>
      </c>
      <c r="F87" s="30">
        <f>SUM(F88)</f>
        <v>939200</v>
      </c>
      <c r="G87" s="30">
        <f>SUM(G88)</f>
        <v>0</v>
      </c>
      <c r="H87" s="30">
        <f>SUM(H88)</f>
        <v>0</v>
      </c>
    </row>
    <row r="88" spans="1:12" ht="12.75" customHeight="1">
      <c r="A88" s="37" t="s">
        <v>254</v>
      </c>
      <c r="B88" s="201" t="s">
        <v>28</v>
      </c>
      <c r="C88" s="9" t="s">
        <v>68</v>
      </c>
      <c r="D88" s="45"/>
      <c r="E88" s="25">
        <f>SUM(E89:E92)</f>
        <v>939200</v>
      </c>
      <c r="F88" s="41">
        <f>E88-H88</f>
        <v>939200</v>
      </c>
      <c r="G88" s="25">
        <f>SUM(G89:G92)</f>
        <v>0</v>
      </c>
      <c r="H88" s="25">
        <f>SUM(H89:H92)</f>
        <v>0</v>
      </c>
    </row>
    <row r="89" spans="1:12" ht="12.75" customHeight="1">
      <c r="A89" s="37" t="s">
        <v>255</v>
      </c>
      <c r="B89" s="203"/>
      <c r="C89" s="55" t="s">
        <v>289</v>
      </c>
      <c r="D89" s="53" t="s">
        <v>22</v>
      </c>
      <c r="E89" s="58">
        <f>113000+78900</f>
        <v>191900</v>
      </c>
      <c r="F89" s="100">
        <f>E89-H89</f>
        <v>191900</v>
      </c>
      <c r="G89" s="25"/>
      <c r="H89" s="25"/>
    </row>
    <row r="90" spans="1:12" ht="25.5">
      <c r="A90" s="37" t="s">
        <v>256</v>
      </c>
      <c r="B90" s="203"/>
      <c r="C90" s="55" t="s">
        <v>290</v>
      </c>
      <c r="D90" s="53" t="s">
        <v>22</v>
      </c>
      <c r="E90" s="58">
        <f>625000+42300</f>
        <v>667300</v>
      </c>
      <c r="F90" s="100">
        <f>E90-H90</f>
        <v>667300</v>
      </c>
      <c r="G90" s="25"/>
      <c r="H90" s="29"/>
    </row>
    <row r="91" spans="1:12">
      <c r="A91" s="37" t="s">
        <v>291</v>
      </c>
      <c r="B91" s="203"/>
      <c r="C91" s="55" t="s">
        <v>395</v>
      </c>
      <c r="D91" s="53" t="s">
        <v>22</v>
      </c>
      <c r="E91" s="58">
        <v>50000</v>
      </c>
      <c r="F91" s="100">
        <f>E91-H91</f>
        <v>50000</v>
      </c>
      <c r="G91" s="25"/>
      <c r="H91" s="26"/>
    </row>
    <row r="92" spans="1:12" ht="25.5">
      <c r="A92" s="37" t="s">
        <v>292</v>
      </c>
      <c r="B92" s="203"/>
      <c r="C92" s="55" t="s">
        <v>132</v>
      </c>
      <c r="D92" s="53" t="s">
        <v>22</v>
      </c>
      <c r="E92" s="58">
        <v>30000</v>
      </c>
      <c r="F92" s="100">
        <f>E92-H92</f>
        <v>30000</v>
      </c>
      <c r="G92" s="25"/>
      <c r="H92" s="26"/>
      <c r="L92" s="47"/>
    </row>
    <row r="93" spans="1:12" ht="25.5">
      <c r="A93" s="37" t="s">
        <v>293</v>
      </c>
      <c r="B93" s="62" t="s">
        <v>75</v>
      </c>
      <c r="C93" s="22" t="s">
        <v>240</v>
      </c>
      <c r="D93" s="64"/>
      <c r="E93" s="63">
        <f>SUM(E94)</f>
        <v>1635200</v>
      </c>
      <c r="F93" s="63">
        <f>SUM(F94)</f>
        <v>936900</v>
      </c>
      <c r="G93" s="63">
        <f>SUM(G94)</f>
        <v>80700</v>
      </c>
      <c r="H93" s="63">
        <f>SUM(H94)</f>
        <v>698300</v>
      </c>
    </row>
    <row r="94" spans="1:12" ht="12.75" customHeight="1">
      <c r="A94" s="37" t="s">
        <v>294</v>
      </c>
      <c r="B94" s="201" t="s">
        <v>80</v>
      </c>
      <c r="C94" s="9" t="s">
        <v>68</v>
      </c>
      <c r="D94" s="65"/>
      <c r="E94" s="25">
        <f>SUM(E95:E101)</f>
        <v>1635200</v>
      </c>
      <c r="F94" s="25">
        <f>SUM(F95:F101)</f>
        <v>936900</v>
      </c>
      <c r="G94" s="25">
        <f>SUM(G95:G101)</f>
        <v>80700</v>
      </c>
      <c r="H94" s="25">
        <f>SUM(H95:H101)</f>
        <v>698300</v>
      </c>
    </row>
    <row r="95" spans="1:12">
      <c r="A95" s="37" t="s">
        <v>295</v>
      </c>
      <c r="B95" s="203"/>
      <c r="C95" s="55" t="s">
        <v>126</v>
      </c>
      <c r="D95" s="84" t="s">
        <v>10</v>
      </c>
      <c r="E95" s="126">
        <f>35000-2600</f>
        <v>32400</v>
      </c>
      <c r="F95" s="100">
        <f t="shared" ref="F95:F103" si="6">E95-H95</f>
        <v>32400</v>
      </c>
      <c r="G95" s="85"/>
      <c r="H95" s="86"/>
    </row>
    <row r="96" spans="1:12">
      <c r="A96" s="37" t="s">
        <v>296</v>
      </c>
      <c r="B96" s="203"/>
      <c r="C96" s="55" t="s">
        <v>131</v>
      </c>
      <c r="D96" s="99" t="s">
        <v>10</v>
      </c>
      <c r="E96" s="127">
        <f>84300+38900</f>
        <v>123200</v>
      </c>
      <c r="F96" s="95">
        <f t="shared" si="6"/>
        <v>86200</v>
      </c>
      <c r="G96" s="61"/>
      <c r="H96" s="61">
        <v>37000</v>
      </c>
    </row>
    <row r="97" spans="1:8" ht="25.5">
      <c r="A97" s="37" t="s">
        <v>298</v>
      </c>
      <c r="B97" s="203"/>
      <c r="C97" s="55" t="s">
        <v>393</v>
      </c>
      <c r="D97" s="84" t="s">
        <v>10</v>
      </c>
      <c r="E97" s="126">
        <v>417200</v>
      </c>
      <c r="F97" s="100">
        <f t="shared" si="6"/>
        <v>162000</v>
      </c>
      <c r="G97" s="61"/>
      <c r="H97" s="85">
        <v>255200</v>
      </c>
    </row>
    <row r="98" spans="1:8">
      <c r="A98" s="37" t="s">
        <v>299</v>
      </c>
      <c r="B98" s="203"/>
      <c r="C98" s="55" t="s">
        <v>297</v>
      </c>
      <c r="D98" s="84" t="s">
        <v>75</v>
      </c>
      <c r="E98" s="58">
        <f>6000+2600</f>
        <v>8600</v>
      </c>
      <c r="F98" s="100">
        <f t="shared" si="6"/>
        <v>8500</v>
      </c>
      <c r="G98" s="61"/>
      <c r="H98" s="61">
        <v>100</v>
      </c>
    </row>
    <row r="99" spans="1:8" ht="12.75" customHeight="1">
      <c r="A99" s="37" t="s">
        <v>301</v>
      </c>
      <c r="B99" s="203"/>
      <c r="C99" s="55" t="s">
        <v>127</v>
      </c>
      <c r="D99" s="84" t="s">
        <v>75</v>
      </c>
      <c r="E99" s="58">
        <f>56000+35000</f>
        <v>91000</v>
      </c>
      <c r="F99" s="100">
        <f t="shared" si="6"/>
        <v>56000</v>
      </c>
      <c r="G99" s="61"/>
      <c r="H99" s="85">
        <v>35000</v>
      </c>
    </row>
    <row r="100" spans="1:8" ht="38.25" customHeight="1">
      <c r="A100" s="37" t="s">
        <v>302</v>
      </c>
      <c r="B100" s="203"/>
      <c r="C100" s="55" t="s">
        <v>324</v>
      </c>
      <c r="D100" s="84" t="s">
        <v>75</v>
      </c>
      <c r="E100" s="58">
        <v>60000</v>
      </c>
      <c r="F100" s="100">
        <f t="shared" si="6"/>
        <v>60000</v>
      </c>
      <c r="G100" s="61"/>
      <c r="H100" s="85"/>
    </row>
    <row r="101" spans="1:8" ht="25.5">
      <c r="A101" s="37" t="s">
        <v>303</v>
      </c>
      <c r="B101" s="203"/>
      <c r="C101" s="55" t="s">
        <v>300</v>
      </c>
      <c r="D101" s="84" t="s">
        <v>75</v>
      </c>
      <c r="E101" s="58">
        <v>902800</v>
      </c>
      <c r="F101" s="100">
        <f t="shared" si="6"/>
        <v>531800</v>
      </c>
      <c r="G101" s="85">
        <v>80700</v>
      </c>
      <c r="H101" s="85">
        <v>371000</v>
      </c>
    </row>
    <row r="102" spans="1:8">
      <c r="A102" s="37" t="s">
        <v>304</v>
      </c>
      <c r="B102" s="62" t="s">
        <v>76</v>
      </c>
      <c r="C102" s="22" t="s">
        <v>78</v>
      </c>
      <c r="D102" s="64"/>
      <c r="E102" s="63">
        <f>SUM(E103)</f>
        <v>640600</v>
      </c>
      <c r="F102" s="63">
        <f>SUM(F103)</f>
        <v>359200</v>
      </c>
      <c r="G102" s="63">
        <f>SUM(G103)</f>
        <v>400</v>
      </c>
      <c r="H102" s="63">
        <f>SUM(H103)</f>
        <v>281400</v>
      </c>
    </row>
    <row r="103" spans="1:8">
      <c r="A103" s="37" t="s">
        <v>313</v>
      </c>
      <c r="B103" s="40" t="s">
        <v>79</v>
      </c>
      <c r="C103" s="9" t="s">
        <v>77</v>
      </c>
      <c r="D103" s="65" t="s">
        <v>10</v>
      </c>
      <c r="E103" s="21">
        <f>602000-1500+40100</f>
        <v>640600</v>
      </c>
      <c r="F103" s="41">
        <f t="shared" si="6"/>
        <v>359200</v>
      </c>
      <c r="G103" s="128">
        <v>400</v>
      </c>
      <c r="H103" s="129">
        <f>225700+55700</f>
        <v>281400</v>
      </c>
    </row>
    <row r="104" spans="1:8">
      <c r="A104" s="7" t="s">
        <v>378</v>
      </c>
      <c r="B104" s="13"/>
      <c r="C104" s="108" t="s">
        <v>138</v>
      </c>
      <c r="D104" s="15"/>
      <c r="E104" s="27">
        <f>E102+E93+E87+E75+E60+E41+E15</f>
        <v>14982200</v>
      </c>
      <c r="F104" s="27">
        <f>F102+F93+F87+F75+F60+F41+F15</f>
        <v>13487200</v>
      </c>
      <c r="G104" s="27">
        <f>G102+G93+G75+G60+G41+G15</f>
        <v>5470200</v>
      </c>
      <c r="H104" s="27">
        <f>H102+H93+H87+H75+H60+H41+H15</f>
        <v>1495000</v>
      </c>
    </row>
    <row r="105" spans="1:8">
      <c r="A105" s="70"/>
      <c r="B105" s="71"/>
      <c r="C105" s="72"/>
      <c r="D105" s="73"/>
      <c r="E105" s="74"/>
      <c r="F105" s="74"/>
      <c r="G105" s="74"/>
      <c r="H105" s="74"/>
    </row>
    <row r="106" spans="1:8">
      <c r="A106" s="218" t="s">
        <v>48</v>
      </c>
      <c r="B106" s="218"/>
      <c r="C106" s="218"/>
      <c r="D106" s="218"/>
      <c r="E106" s="218"/>
      <c r="F106" s="218"/>
      <c r="G106" s="218"/>
      <c r="H106" s="218"/>
    </row>
    <row r="109" spans="1:8">
      <c r="E109" t="s">
        <v>244</v>
      </c>
    </row>
  </sheetData>
  <mergeCells count="21">
    <mergeCell ref="A10:A13"/>
    <mergeCell ref="D10:D13"/>
    <mergeCell ref="B10:B13"/>
    <mergeCell ref="F11:H11"/>
    <mergeCell ref="H12:H13"/>
    <mergeCell ref="C10:C13"/>
    <mergeCell ref="F12:G12"/>
    <mergeCell ref="E10:H10"/>
    <mergeCell ref="E11:E13"/>
    <mergeCell ref="F1:H1"/>
    <mergeCell ref="F2:H2"/>
    <mergeCell ref="F3:H3"/>
    <mergeCell ref="A5:H7"/>
    <mergeCell ref="F4:H4"/>
    <mergeCell ref="A106:H106"/>
    <mergeCell ref="B36:B40"/>
    <mergeCell ref="B46:B59"/>
    <mergeCell ref="B68:B74"/>
    <mergeCell ref="B76:B83"/>
    <mergeCell ref="B94:B101"/>
    <mergeCell ref="B88:B92"/>
  </mergeCells>
  <phoneticPr fontId="5" type="noConversion"/>
  <pageMargins left="0.78740157480314965" right="0.19685039370078741" top="0.39370078740157483" bottom="0.39370078740157483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81"/>
  <sheetViews>
    <sheetView zoomScale="135" zoomScaleNormal="135" workbookViewId="0">
      <selection activeCell="D3" sqref="D3:F3"/>
    </sheetView>
  </sheetViews>
  <sheetFormatPr defaultRowHeight="12.75"/>
  <cols>
    <col min="1" max="1" width="4" customWidth="1"/>
    <col min="2" max="2" width="46.85546875" customWidth="1"/>
    <col min="3" max="3" width="10.140625" customWidth="1"/>
    <col min="4" max="4" width="10" customWidth="1"/>
    <col min="5" max="5" width="11" customWidth="1"/>
    <col min="6" max="6" width="10.140625" customWidth="1"/>
  </cols>
  <sheetData>
    <row r="1" spans="1:10" ht="14.1" customHeight="1">
      <c r="A1" s="3"/>
      <c r="B1" s="3"/>
      <c r="C1" s="35"/>
      <c r="D1" s="207" t="s">
        <v>7</v>
      </c>
      <c r="E1" s="207"/>
      <c r="F1" s="207"/>
    </row>
    <row r="2" spans="1:10" ht="14.1" customHeight="1">
      <c r="A2" s="3"/>
      <c r="B2" s="3"/>
      <c r="C2" s="35"/>
      <c r="D2" s="207" t="s">
        <v>406</v>
      </c>
      <c r="E2" s="207"/>
      <c r="F2" s="207"/>
    </row>
    <row r="3" spans="1:10" ht="14.1" customHeight="1">
      <c r="A3" s="1"/>
      <c r="B3" s="3"/>
      <c r="C3" s="35"/>
      <c r="D3" s="207" t="s">
        <v>410</v>
      </c>
      <c r="E3" s="207"/>
      <c r="F3" s="207"/>
    </row>
    <row r="4" spans="1:10" ht="14.1" customHeight="1">
      <c r="A4" s="1"/>
      <c r="B4" s="16"/>
      <c r="C4" s="16"/>
      <c r="D4" s="208" t="s">
        <v>141</v>
      </c>
      <c r="E4" s="208"/>
      <c r="F4" s="208"/>
    </row>
    <row r="5" spans="1:10" ht="12.75" customHeight="1">
      <c r="A5" s="195" t="s">
        <v>390</v>
      </c>
      <c r="B5" s="195"/>
      <c r="C5" s="195"/>
      <c r="D5" s="195"/>
      <c r="E5" s="195"/>
      <c r="F5" s="195"/>
      <c r="G5" s="33"/>
    </row>
    <row r="6" spans="1:10" ht="12.75" customHeight="1">
      <c r="A6" s="195"/>
      <c r="B6" s="195"/>
      <c r="C6" s="195"/>
      <c r="D6" s="195"/>
      <c r="E6" s="195"/>
      <c r="F6" s="195"/>
      <c r="G6" s="33"/>
    </row>
    <row r="7" spans="1:10" ht="12.75" customHeight="1">
      <c r="A7" s="195"/>
      <c r="B7" s="195"/>
      <c r="C7" s="195"/>
      <c r="D7" s="195"/>
      <c r="E7" s="195"/>
      <c r="F7" s="195"/>
      <c r="G7" s="33"/>
    </row>
    <row r="8" spans="1:10">
      <c r="A8" s="1"/>
      <c r="B8" s="3"/>
      <c r="C8" s="224" t="s">
        <v>266</v>
      </c>
      <c r="D8" s="224"/>
      <c r="E8" s="224"/>
      <c r="F8" s="224"/>
    </row>
    <row r="9" spans="1:10" ht="12.75" customHeight="1">
      <c r="A9" s="192" t="s">
        <v>0</v>
      </c>
      <c r="B9" s="192" t="s">
        <v>117</v>
      </c>
      <c r="C9" s="226" t="s">
        <v>130</v>
      </c>
      <c r="D9" s="197"/>
      <c r="E9" s="197"/>
      <c r="F9" s="198"/>
    </row>
    <row r="10" spans="1:10">
      <c r="A10" s="199"/>
      <c r="B10" s="225"/>
      <c r="C10" s="192" t="s">
        <v>3</v>
      </c>
      <c r="D10" s="214" t="s">
        <v>4</v>
      </c>
      <c r="E10" s="214"/>
      <c r="F10" s="215"/>
    </row>
    <row r="11" spans="1:10" ht="12.75" customHeight="1">
      <c r="A11" s="199"/>
      <c r="B11" s="225"/>
      <c r="C11" s="199"/>
      <c r="D11" s="216" t="s">
        <v>128</v>
      </c>
      <c r="E11" s="216"/>
      <c r="F11" s="192" t="s">
        <v>50</v>
      </c>
    </row>
    <row r="12" spans="1:10" ht="25.5" customHeight="1">
      <c r="A12" s="199"/>
      <c r="B12" s="225"/>
      <c r="C12" s="200"/>
      <c r="D12" s="92" t="s">
        <v>129</v>
      </c>
      <c r="E12" s="94" t="s">
        <v>8</v>
      </c>
      <c r="F12" s="200"/>
    </row>
    <row r="13" spans="1:10">
      <c r="A13" s="5">
        <v>1</v>
      </c>
      <c r="B13" s="93">
        <v>3</v>
      </c>
      <c r="C13" s="94">
        <v>4</v>
      </c>
      <c r="D13" s="94">
        <v>5</v>
      </c>
      <c r="E13" s="94">
        <v>6</v>
      </c>
      <c r="F13" s="94">
        <v>7</v>
      </c>
    </row>
    <row r="14" spans="1:10">
      <c r="A14" s="104" t="s">
        <v>84</v>
      </c>
      <c r="B14" s="17" t="s">
        <v>12</v>
      </c>
      <c r="C14" s="130">
        <f>978800+4500</f>
        <v>983300</v>
      </c>
      <c r="D14" s="19">
        <f>C14-F14</f>
        <v>971300</v>
      </c>
      <c r="E14" s="19">
        <v>603900</v>
      </c>
      <c r="F14" s="19">
        <v>12000</v>
      </c>
    </row>
    <row r="15" spans="1:10">
      <c r="A15" s="104" t="s">
        <v>85</v>
      </c>
      <c r="B15" s="17" t="s">
        <v>248</v>
      </c>
      <c r="C15" s="130">
        <v>676800</v>
      </c>
      <c r="D15" s="19">
        <f t="shared" ref="D15:D47" si="0">C15-F15</f>
        <v>676800</v>
      </c>
      <c r="E15" s="19">
        <v>401200</v>
      </c>
      <c r="F15" s="19"/>
      <c r="J15" s="47"/>
    </row>
    <row r="16" spans="1:10" ht="12.75" customHeight="1">
      <c r="A16" s="105" t="s">
        <v>86</v>
      </c>
      <c r="B16" s="17" t="s">
        <v>262</v>
      </c>
      <c r="C16" s="131">
        <v>685800</v>
      </c>
      <c r="D16" s="19">
        <f t="shared" si="0"/>
        <v>678800</v>
      </c>
      <c r="E16" s="82">
        <v>407900</v>
      </c>
      <c r="F16" s="82">
        <v>7000</v>
      </c>
    </row>
    <row r="17" spans="1:6" ht="12.75" customHeight="1">
      <c r="A17" s="105" t="s">
        <v>87</v>
      </c>
      <c r="B17" s="17" t="s">
        <v>249</v>
      </c>
      <c r="C17" s="131">
        <v>774000</v>
      </c>
      <c r="D17" s="19">
        <f>C17-F17</f>
        <v>773000</v>
      </c>
      <c r="E17" s="82">
        <v>486700</v>
      </c>
      <c r="F17" s="82">
        <v>1000</v>
      </c>
    </row>
    <row r="18" spans="1:6" ht="12.75" customHeight="1">
      <c r="A18" s="105" t="s">
        <v>88</v>
      </c>
      <c r="B18" s="17" t="s">
        <v>263</v>
      </c>
      <c r="C18" s="82">
        <v>1071300</v>
      </c>
      <c r="D18" s="19">
        <f t="shared" si="0"/>
        <v>1071300</v>
      </c>
      <c r="E18" s="82">
        <v>696500</v>
      </c>
      <c r="F18" s="82"/>
    </row>
    <row r="19" spans="1:6" ht="12.75" customHeight="1">
      <c r="A19" s="105" t="s">
        <v>89</v>
      </c>
      <c r="B19" s="17" t="s">
        <v>264</v>
      </c>
      <c r="C19" s="131">
        <v>1031000</v>
      </c>
      <c r="D19" s="19">
        <f t="shared" si="0"/>
        <v>1020100</v>
      </c>
      <c r="E19" s="82">
        <v>643700</v>
      </c>
      <c r="F19" s="82">
        <f>4000+6900</f>
        <v>10900</v>
      </c>
    </row>
    <row r="20" spans="1:6" ht="12.75" customHeight="1">
      <c r="A20" s="105" t="s">
        <v>90</v>
      </c>
      <c r="B20" s="17" t="s">
        <v>258</v>
      </c>
      <c r="C20" s="131">
        <v>532900</v>
      </c>
      <c r="D20" s="19">
        <f t="shared" si="0"/>
        <v>532900</v>
      </c>
      <c r="E20" s="82">
        <v>326600</v>
      </c>
      <c r="F20" s="82"/>
    </row>
    <row r="21" spans="1:6" ht="12.75" customHeight="1">
      <c r="A21" s="105" t="s">
        <v>91</v>
      </c>
      <c r="B21" s="17" t="s">
        <v>13</v>
      </c>
      <c r="C21" s="131">
        <v>505900</v>
      </c>
      <c r="D21" s="19">
        <f t="shared" si="0"/>
        <v>505100</v>
      </c>
      <c r="E21" s="82">
        <v>324900</v>
      </c>
      <c r="F21" s="82">
        <v>800</v>
      </c>
    </row>
    <row r="22" spans="1:6" ht="12.75" customHeight="1">
      <c r="A22" s="105" t="s">
        <v>92</v>
      </c>
      <c r="B22" s="17" t="s">
        <v>250</v>
      </c>
      <c r="C22" s="131">
        <v>260400</v>
      </c>
      <c r="D22" s="19">
        <f t="shared" si="0"/>
        <v>260400</v>
      </c>
      <c r="E22" s="82">
        <v>161100</v>
      </c>
      <c r="F22" s="82"/>
    </row>
    <row r="23" spans="1:6" ht="12.75" customHeight="1">
      <c r="A23" s="105" t="s">
        <v>93</v>
      </c>
      <c r="B23" s="17" t="s">
        <v>251</v>
      </c>
      <c r="C23" s="131">
        <v>386500</v>
      </c>
      <c r="D23" s="19">
        <f t="shared" si="0"/>
        <v>386500</v>
      </c>
      <c r="E23" s="82">
        <v>233600</v>
      </c>
      <c r="F23" s="82"/>
    </row>
    <row r="24" spans="1:6" ht="12.75" customHeight="1">
      <c r="A24" s="105" t="s">
        <v>94</v>
      </c>
      <c r="B24" s="17" t="s">
        <v>252</v>
      </c>
      <c r="C24" s="131">
        <f>416300+1000</f>
        <v>417300</v>
      </c>
      <c r="D24" s="19">
        <f t="shared" si="0"/>
        <v>417300</v>
      </c>
      <c r="E24" s="82">
        <v>261000</v>
      </c>
      <c r="F24" s="82"/>
    </row>
    <row r="25" spans="1:6" ht="12.75" customHeight="1">
      <c r="A25" s="105" t="s">
        <v>95</v>
      </c>
      <c r="B25" s="17" t="s">
        <v>265</v>
      </c>
      <c r="C25" s="82">
        <v>329500</v>
      </c>
      <c r="D25" s="19">
        <f t="shared" si="0"/>
        <v>329500</v>
      </c>
      <c r="E25" s="82">
        <v>209800</v>
      </c>
      <c r="F25" s="82"/>
    </row>
    <row r="26" spans="1:6" ht="12.75" customHeight="1">
      <c r="A26" s="105" t="s">
        <v>96</v>
      </c>
      <c r="B26" s="17" t="s">
        <v>14</v>
      </c>
      <c r="C26" s="130">
        <v>397300</v>
      </c>
      <c r="D26" s="19">
        <f t="shared" si="0"/>
        <v>395300</v>
      </c>
      <c r="E26" s="19">
        <v>221200</v>
      </c>
      <c r="F26" s="19">
        <v>2000</v>
      </c>
    </row>
    <row r="27" spans="1:6" ht="12.75" customHeight="1">
      <c r="A27" s="105" t="s">
        <v>97</v>
      </c>
      <c r="B27" s="17" t="s">
        <v>15</v>
      </c>
      <c r="C27" s="130">
        <v>599200</v>
      </c>
      <c r="D27" s="19">
        <f t="shared" si="0"/>
        <v>599200</v>
      </c>
      <c r="E27" s="19">
        <v>368600</v>
      </c>
      <c r="F27" s="19"/>
    </row>
    <row r="28" spans="1:6" ht="12.75" customHeight="1">
      <c r="A28" s="105" t="s">
        <v>98</v>
      </c>
      <c r="B28" s="17" t="s">
        <v>123</v>
      </c>
      <c r="C28" s="130">
        <v>298100</v>
      </c>
      <c r="D28" s="19">
        <f t="shared" si="0"/>
        <v>298100</v>
      </c>
      <c r="E28" s="19">
        <v>170400</v>
      </c>
      <c r="F28" s="19"/>
    </row>
    <row r="29" spans="1:6">
      <c r="A29" s="105" t="s">
        <v>99</v>
      </c>
      <c r="B29" s="17" t="s">
        <v>253</v>
      </c>
      <c r="C29" s="131">
        <f>164000+400</f>
        <v>164400</v>
      </c>
      <c r="D29" s="19">
        <f t="shared" si="0"/>
        <v>163400</v>
      </c>
      <c r="E29" s="82">
        <v>119500</v>
      </c>
      <c r="F29" s="82">
        <v>1000</v>
      </c>
    </row>
    <row r="30" spans="1:6">
      <c r="A30" s="105" t="s">
        <v>100</v>
      </c>
      <c r="B30" s="17" t="s">
        <v>52</v>
      </c>
      <c r="C30" s="130">
        <v>380500</v>
      </c>
      <c r="D30" s="19">
        <f t="shared" si="0"/>
        <v>375000</v>
      </c>
      <c r="E30" s="19">
        <v>273900</v>
      </c>
      <c r="F30" s="19">
        <v>5500</v>
      </c>
    </row>
    <row r="31" spans="1:6">
      <c r="A31" s="105" t="s">
        <v>101</v>
      </c>
      <c r="B31" s="17" t="s">
        <v>247</v>
      </c>
      <c r="C31" s="131">
        <v>172900</v>
      </c>
      <c r="D31" s="19">
        <f t="shared" si="0"/>
        <v>168900</v>
      </c>
      <c r="E31" s="82">
        <v>115100</v>
      </c>
      <c r="F31" s="82">
        <v>4000</v>
      </c>
    </row>
    <row r="32" spans="1:6" ht="12.75" customHeight="1">
      <c r="A32" s="105" t="s">
        <v>102</v>
      </c>
      <c r="B32" s="17" t="s">
        <v>65</v>
      </c>
      <c r="C32" s="131">
        <v>336100</v>
      </c>
      <c r="D32" s="19">
        <f t="shared" si="0"/>
        <v>336100</v>
      </c>
      <c r="E32" s="82">
        <v>189700</v>
      </c>
      <c r="F32" s="82"/>
    </row>
    <row r="33" spans="1:11">
      <c r="A33" s="105" t="s">
        <v>103</v>
      </c>
      <c r="B33" s="17" t="s">
        <v>377</v>
      </c>
      <c r="C33" s="82">
        <v>157800</v>
      </c>
      <c r="D33" s="19">
        <f t="shared" si="0"/>
        <v>156400</v>
      </c>
      <c r="E33" s="82">
        <v>100900</v>
      </c>
      <c r="F33" s="82">
        <v>1400</v>
      </c>
    </row>
    <row r="34" spans="1:11" ht="12.75" customHeight="1">
      <c r="A34" s="105" t="s">
        <v>104</v>
      </c>
      <c r="B34" s="22" t="s">
        <v>54</v>
      </c>
      <c r="C34" s="96">
        <v>164500</v>
      </c>
      <c r="D34" s="19">
        <f t="shared" si="0"/>
        <v>161500</v>
      </c>
      <c r="E34" s="27">
        <v>109100</v>
      </c>
      <c r="F34" s="27">
        <v>3000</v>
      </c>
    </row>
    <row r="35" spans="1:11">
      <c r="A35" s="105" t="s">
        <v>105</v>
      </c>
      <c r="B35" s="22" t="s">
        <v>243</v>
      </c>
      <c r="C35" s="96">
        <v>557900</v>
      </c>
      <c r="D35" s="19">
        <f t="shared" si="0"/>
        <v>537900</v>
      </c>
      <c r="E35" s="27">
        <v>354900</v>
      </c>
      <c r="F35" s="27">
        <v>20000</v>
      </c>
    </row>
    <row r="36" spans="1:11" ht="12.75" customHeight="1">
      <c r="A36" s="105" t="s">
        <v>106</v>
      </c>
      <c r="B36" s="22" t="s">
        <v>73</v>
      </c>
      <c r="C36" s="98">
        <v>457600</v>
      </c>
      <c r="D36" s="19">
        <f t="shared" si="0"/>
        <v>427600</v>
      </c>
      <c r="E36" s="83">
        <v>222600</v>
      </c>
      <c r="F36" s="83">
        <v>30000</v>
      </c>
    </row>
    <row r="37" spans="1:11" ht="12" customHeight="1">
      <c r="A37" s="105" t="s">
        <v>107</v>
      </c>
      <c r="B37" s="22" t="s">
        <v>137</v>
      </c>
      <c r="C37" s="98">
        <v>70100</v>
      </c>
      <c r="D37" s="19">
        <f t="shared" si="0"/>
        <v>68600</v>
      </c>
      <c r="E37" s="83">
        <v>44500</v>
      </c>
      <c r="F37" s="83">
        <v>1500</v>
      </c>
    </row>
    <row r="38" spans="1:11" ht="12.75" customHeight="1">
      <c r="A38" s="105" t="s">
        <v>108</v>
      </c>
      <c r="B38" s="22" t="s">
        <v>55</v>
      </c>
      <c r="C38" s="98">
        <v>69800</v>
      </c>
      <c r="D38" s="19">
        <f t="shared" si="0"/>
        <v>67800</v>
      </c>
      <c r="E38" s="83">
        <v>42400</v>
      </c>
      <c r="F38" s="83">
        <v>2000</v>
      </c>
    </row>
    <row r="39" spans="1:11">
      <c r="A39" s="105" t="s">
        <v>109</v>
      </c>
      <c r="B39" s="22" t="s">
        <v>237</v>
      </c>
      <c r="C39" s="98">
        <v>73000</v>
      </c>
      <c r="D39" s="19">
        <f t="shared" si="0"/>
        <v>72000</v>
      </c>
      <c r="E39" s="83">
        <v>43400</v>
      </c>
      <c r="F39" s="83">
        <v>1000</v>
      </c>
    </row>
    <row r="40" spans="1:11">
      <c r="A40" s="105" t="s">
        <v>110</v>
      </c>
      <c r="B40" s="22" t="s">
        <v>56</v>
      </c>
      <c r="C40" s="98">
        <f>78200+1500</f>
        <v>79700</v>
      </c>
      <c r="D40" s="19">
        <f>C40-F40</f>
        <v>78200</v>
      </c>
      <c r="E40" s="83">
        <v>41600</v>
      </c>
      <c r="F40" s="83">
        <v>1500</v>
      </c>
    </row>
    <row r="41" spans="1:11">
      <c r="A41" s="105" t="s">
        <v>185</v>
      </c>
      <c r="B41" s="49" t="s">
        <v>236</v>
      </c>
      <c r="C41" s="98">
        <v>137500</v>
      </c>
      <c r="D41" s="19">
        <f t="shared" si="0"/>
        <v>137500</v>
      </c>
      <c r="E41" s="98">
        <v>89100</v>
      </c>
      <c r="F41" s="98"/>
      <c r="K41" s="119"/>
    </row>
    <row r="42" spans="1:11" ht="12.75" customHeight="1">
      <c r="A42" s="105" t="s">
        <v>186</v>
      </c>
      <c r="B42" s="49" t="s">
        <v>238</v>
      </c>
      <c r="C42" s="98">
        <v>71800</v>
      </c>
      <c r="D42" s="19">
        <f t="shared" si="0"/>
        <v>71800</v>
      </c>
      <c r="E42" s="98">
        <v>53300</v>
      </c>
      <c r="F42" s="98"/>
    </row>
    <row r="43" spans="1:11" ht="12.75" customHeight="1">
      <c r="A43" s="105" t="s">
        <v>187</v>
      </c>
      <c r="B43" s="49" t="s">
        <v>242</v>
      </c>
      <c r="C43" s="98">
        <v>539300</v>
      </c>
      <c r="D43" s="19">
        <f t="shared" si="0"/>
        <v>539300</v>
      </c>
      <c r="E43" s="98">
        <v>355900</v>
      </c>
      <c r="F43" s="98"/>
    </row>
    <row r="44" spans="1:11" ht="12.75" customHeight="1">
      <c r="A44" s="105" t="s">
        <v>188</v>
      </c>
      <c r="B44" s="49" t="s">
        <v>239</v>
      </c>
      <c r="C44" s="98">
        <v>442000</v>
      </c>
      <c r="D44" s="19">
        <f t="shared" si="0"/>
        <v>68300</v>
      </c>
      <c r="E44" s="98"/>
      <c r="F44" s="98">
        <v>373700</v>
      </c>
    </row>
    <row r="45" spans="1:11" ht="12.75" customHeight="1">
      <c r="A45" s="105" t="s">
        <v>189</v>
      </c>
      <c r="B45" s="49" t="s">
        <v>122</v>
      </c>
      <c r="C45" s="98">
        <v>656700</v>
      </c>
      <c r="D45" s="19">
        <f t="shared" si="0"/>
        <v>656700</v>
      </c>
      <c r="E45" s="98">
        <v>461000</v>
      </c>
      <c r="F45" s="98"/>
    </row>
    <row r="46" spans="1:11" ht="12.75" customHeight="1">
      <c r="A46" s="105" t="s">
        <v>190</v>
      </c>
      <c r="B46" s="49" t="s">
        <v>81</v>
      </c>
      <c r="C46" s="98">
        <f>509700+5300</f>
        <v>515000</v>
      </c>
      <c r="D46" s="19">
        <f t="shared" si="0"/>
        <v>515000</v>
      </c>
      <c r="E46" s="98">
        <f>357000+2500</f>
        <v>359500</v>
      </c>
      <c r="F46" s="98"/>
    </row>
    <row r="47" spans="1:11" ht="12.75" customHeight="1">
      <c r="A47" s="106" t="s">
        <v>191</v>
      </c>
      <c r="B47" s="49" t="s">
        <v>82</v>
      </c>
      <c r="C47" s="98">
        <f>1312100+5800</f>
        <v>1317900</v>
      </c>
      <c r="D47" s="19">
        <f t="shared" si="0"/>
        <v>1302900</v>
      </c>
      <c r="E47" s="98">
        <f>679400+4500</f>
        <v>683900</v>
      </c>
      <c r="F47" s="98">
        <v>15000</v>
      </c>
    </row>
    <row r="48" spans="1:11" ht="12.75" customHeight="1">
      <c r="A48" s="106" t="s">
        <v>192</v>
      </c>
      <c r="B48" s="49" t="s">
        <v>68</v>
      </c>
      <c r="C48" s="98">
        <f>SUM(C49:C98)</f>
        <v>11689600</v>
      </c>
      <c r="D48" s="98">
        <f>SUM(D49:D98)</f>
        <v>8920000</v>
      </c>
      <c r="E48" s="98">
        <f>SUM(E49:E98)</f>
        <v>1668200</v>
      </c>
      <c r="F48" s="98">
        <f>SUM(F49:F98)</f>
        <v>2769600</v>
      </c>
    </row>
    <row r="49" spans="1:6" ht="12.75" customHeight="1">
      <c r="A49" s="37" t="s">
        <v>193</v>
      </c>
      <c r="B49" s="89" t="s">
        <v>118</v>
      </c>
      <c r="C49" s="90">
        <v>291800</v>
      </c>
      <c r="D49" s="182">
        <f>C49-F49</f>
        <v>289800</v>
      </c>
      <c r="E49" s="90">
        <v>110500</v>
      </c>
      <c r="F49" s="90">
        <v>2000</v>
      </c>
    </row>
    <row r="50" spans="1:6" ht="12.75" customHeight="1">
      <c r="A50" s="37" t="s">
        <v>194</v>
      </c>
      <c r="B50" s="89" t="s">
        <v>119</v>
      </c>
      <c r="C50" s="90">
        <v>1991000</v>
      </c>
      <c r="D50" s="182">
        <f t="shared" ref="D50:D98" si="1">C50-F50</f>
        <v>1961000</v>
      </c>
      <c r="E50" s="90">
        <v>1220000</v>
      </c>
      <c r="F50" s="90">
        <v>30000</v>
      </c>
    </row>
    <row r="51" spans="1:6" ht="12.75" customHeight="1">
      <c r="A51" s="37" t="s">
        <v>195</v>
      </c>
      <c r="B51" s="89" t="s">
        <v>257</v>
      </c>
      <c r="C51" s="90">
        <f>851700+6800</f>
        <v>858500</v>
      </c>
      <c r="D51" s="182">
        <f t="shared" si="1"/>
        <v>858500</v>
      </c>
      <c r="E51" s="90">
        <f>250100+4700</f>
        <v>254800</v>
      </c>
      <c r="F51" s="90"/>
    </row>
    <row r="52" spans="1:6" ht="25.5" customHeight="1">
      <c r="A52" s="37" t="s">
        <v>196</v>
      </c>
      <c r="B52" s="89" t="s">
        <v>394</v>
      </c>
      <c r="C52" s="90">
        <f>12700-12700</f>
        <v>0</v>
      </c>
      <c r="D52" s="183">
        <f t="shared" si="1"/>
        <v>0</v>
      </c>
      <c r="E52" s="90">
        <f>9700-9700</f>
        <v>0</v>
      </c>
      <c r="F52" s="90"/>
    </row>
    <row r="53" spans="1:6" ht="12.75" customHeight="1">
      <c r="A53" s="37" t="s">
        <v>197</v>
      </c>
      <c r="B53" s="89" t="s">
        <v>271</v>
      </c>
      <c r="C53" s="90">
        <v>226500</v>
      </c>
      <c r="D53" s="182">
        <f t="shared" si="1"/>
        <v>226500</v>
      </c>
      <c r="E53" s="90"/>
      <c r="F53" s="90"/>
    </row>
    <row r="54" spans="1:6" ht="12.75" customHeight="1">
      <c r="A54" s="37" t="s">
        <v>198</v>
      </c>
      <c r="B54" s="55" t="s">
        <v>269</v>
      </c>
      <c r="C54" s="90">
        <v>83000</v>
      </c>
      <c r="D54" s="182">
        <f t="shared" si="1"/>
        <v>83000</v>
      </c>
      <c r="E54" s="90">
        <v>1800</v>
      </c>
      <c r="F54" s="90"/>
    </row>
    <row r="55" spans="1:6" ht="12.75" customHeight="1">
      <c r="A55" s="37" t="s">
        <v>199</v>
      </c>
      <c r="B55" s="55" t="s">
        <v>272</v>
      </c>
      <c r="C55" s="90">
        <v>5000</v>
      </c>
      <c r="D55" s="182">
        <f t="shared" si="1"/>
        <v>5000</v>
      </c>
      <c r="E55" s="90"/>
      <c r="F55" s="90"/>
    </row>
    <row r="56" spans="1:6" ht="12.75" customHeight="1">
      <c r="A56" s="37" t="s">
        <v>200</v>
      </c>
      <c r="B56" s="89" t="s">
        <v>305</v>
      </c>
      <c r="C56" s="90">
        <v>4000</v>
      </c>
      <c r="D56" s="182">
        <f t="shared" si="1"/>
        <v>4000</v>
      </c>
      <c r="E56" s="90"/>
      <c r="F56" s="90"/>
    </row>
    <row r="57" spans="1:6" ht="12.75" customHeight="1">
      <c r="A57" s="37" t="s">
        <v>201</v>
      </c>
      <c r="B57" s="89" t="s">
        <v>274</v>
      </c>
      <c r="C57" s="90">
        <v>4000</v>
      </c>
      <c r="D57" s="182">
        <f t="shared" si="1"/>
        <v>4000</v>
      </c>
      <c r="E57" s="90"/>
      <c r="F57" s="90"/>
    </row>
    <row r="58" spans="1:6" ht="25.5" customHeight="1">
      <c r="A58" s="37" t="s">
        <v>202</v>
      </c>
      <c r="B58" s="89" t="s">
        <v>306</v>
      </c>
      <c r="C58" s="90">
        <v>10000</v>
      </c>
      <c r="D58" s="183">
        <f t="shared" si="1"/>
        <v>10000</v>
      </c>
      <c r="E58" s="90"/>
      <c r="F58" s="90"/>
    </row>
    <row r="59" spans="1:6" ht="26.25" customHeight="1">
      <c r="A59" s="37" t="s">
        <v>203</v>
      </c>
      <c r="B59" s="89" t="s">
        <v>307</v>
      </c>
      <c r="C59" s="90">
        <f>23000-4000</f>
        <v>19000</v>
      </c>
      <c r="D59" s="183">
        <f t="shared" si="1"/>
        <v>19000</v>
      </c>
      <c r="E59" s="90"/>
      <c r="F59" s="90"/>
    </row>
    <row r="60" spans="1:6" ht="12.75" customHeight="1">
      <c r="A60" s="37" t="s">
        <v>204</v>
      </c>
      <c r="B60" s="89" t="s">
        <v>276</v>
      </c>
      <c r="C60" s="90">
        <v>15000</v>
      </c>
      <c r="D60" s="182">
        <f t="shared" si="1"/>
        <v>15000</v>
      </c>
      <c r="E60" s="90"/>
      <c r="F60" s="90"/>
    </row>
    <row r="61" spans="1:6" ht="12.75" customHeight="1">
      <c r="A61" s="37" t="s">
        <v>205</v>
      </c>
      <c r="B61" s="89" t="s">
        <v>308</v>
      </c>
      <c r="C61" s="90">
        <v>1800</v>
      </c>
      <c r="D61" s="182">
        <f t="shared" si="1"/>
        <v>1800</v>
      </c>
      <c r="E61" s="90"/>
      <c r="F61" s="90"/>
    </row>
    <row r="62" spans="1:6" ht="12.75" customHeight="1">
      <c r="A62" s="37" t="s">
        <v>206</v>
      </c>
      <c r="B62" s="89" t="s">
        <v>277</v>
      </c>
      <c r="C62" s="90">
        <v>25000</v>
      </c>
      <c r="D62" s="182">
        <f t="shared" si="1"/>
        <v>25000</v>
      </c>
      <c r="E62" s="90"/>
      <c r="F62" s="90"/>
    </row>
    <row r="63" spans="1:6" ht="12.75" customHeight="1">
      <c r="A63" s="37" t="s">
        <v>207</v>
      </c>
      <c r="B63" s="89" t="s">
        <v>270</v>
      </c>
      <c r="C63" s="90">
        <v>645000</v>
      </c>
      <c r="D63" s="182">
        <f t="shared" si="1"/>
        <v>645000</v>
      </c>
      <c r="E63" s="90"/>
      <c r="F63" s="90"/>
    </row>
    <row r="64" spans="1:6" ht="12.75" customHeight="1">
      <c r="A64" s="37" t="s">
        <v>208</v>
      </c>
      <c r="B64" s="89" t="s">
        <v>279</v>
      </c>
      <c r="C64" s="90">
        <f>46000-6000</f>
        <v>40000</v>
      </c>
      <c r="D64" s="182">
        <f t="shared" si="1"/>
        <v>40000</v>
      </c>
      <c r="E64" s="90"/>
      <c r="F64" s="90"/>
    </row>
    <row r="65" spans="1:6" ht="12.75" customHeight="1">
      <c r="A65" s="37" t="s">
        <v>209</v>
      </c>
      <c r="B65" s="89" t="s">
        <v>322</v>
      </c>
      <c r="C65" s="90">
        <f>22000+3800</f>
        <v>25800</v>
      </c>
      <c r="D65" s="182">
        <f t="shared" si="1"/>
        <v>25800</v>
      </c>
      <c r="E65" s="90"/>
      <c r="F65" s="90"/>
    </row>
    <row r="66" spans="1:6" ht="12.75" customHeight="1">
      <c r="A66" s="37" t="s">
        <v>210</v>
      </c>
      <c r="B66" s="89" t="s">
        <v>280</v>
      </c>
      <c r="C66" s="90">
        <f>60000-3800</f>
        <v>56200</v>
      </c>
      <c r="D66" s="182">
        <f t="shared" si="1"/>
        <v>56200</v>
      </c>
      <c r="E66" s="90"/>
      <c r="F66" s="90"/>
    </row>
    <row r="67" spans="1:6" ht="12.75" customHeight="1">
      <c r="A67" s="37" t="s">
        <v>211</v>
      </c>
      <c r="B67" s="89" t="s">
        <v>388</v>
      </c>
      <c r="C67" s="90">
        <f>5500+3000</f>
        <v>8500</v>
      </c>
      <c r="D67" s="182">
        <f t="shared" si="1"/>
        <v>8500</v>
      </c>
      <c r="E67" s="90"/>
      <c r="F67" s="90"/>
    </row>
    <row r="68" spans="1:6" ht="12.75" customHeight="1">
      <c r="A68" s="37" t="s">
        <v>212</v>
      </c>
      <c r="B68" s="89" t="s">
        <v>323</v>
      </c>
      <c r="C68" s="90">
        <v>10000</v>
      </c>
      <c r="D68" s="182">
        <f t="shared" si="1"/>
        <v>10000</v>
      </c>
      <c r="E68" s="90"/>
      <c r="F68" s="90"/>
    </row>
    <row r="69" spans="1:6" ht="12.75" customHeight="1">
      <c r="A69" s="37" t="s">
        <v>213</v>
      </c>
      <c r="B69" s="89" t="s">
        <v>309</v>
      </c>
      <c r="C69" s="90">
        <f>425000+11000</f>
        <v>436000</v>
      </c>
      <c r="D69" s="182">
        <f t="shared" si="1"/>
        <v>436000</v>
      </c>
      <c r="E69" s="90"/>
      <c r="F69" s="90"/>
    </row>
    <row r="70" spans="1:6" ht="12.75" customHeight="1">
      <c r="A70" s="37" t="s">
        <v>214</v>
      </c>
      <c r="B70" s="89" t="s">
        <v>282</v>
      </c>
      <c r="C70" s="90">
        <f>80000-8000</f>
        <v>72000</v>
      </c>
      <c r="D70" s="182">
        <f t="shared" si="1"/>
        <v>72000</v>
      </c>
      <c r="E70" s="90"/>
      <c r="F70" s="90"/>
    </row>
    <row r="71" spans="1:6" ht="12.75" customHeight="1">
      <c r="A71" s="37" t="s">
        <v>215</v>
      </c>
      <c r="B71" s="89" t="s">
        <v>285</v>
      </c>
      <c r="C71" s="90">
        <v>30000</v>
      </c>
      <c r="D71" s="182">
        <f t="shared" si="1"/>
        <v>30000</v>
      </c>
      <c r="E71" s="90"/>
      <c r="F71" s="90"/>
    </row>
    <row r="72" spans="1:6" ht="12.75" customHeight="1">
      <c r="A72" s="37" t="s">
        <v>216</v>
      </c>
      <c r="B72" s="89" t="s">
        <v>283</v>
      </c>
      <c r="C72" s="90">
        <v>5000</v>
      </c>
      <c r="D72" s="182">
        <f t="shared" si="1"/>
        <v>5000</v>
      </c>
      <c r="E72" s="90"/>
      <c r="F72" s="90"/>
    </row>
    <row r="73" spans="1:6" ht="37.5" customHeight="1">
      <c r="A73" s="37" t="s">
        <v>217</v>
      </c>
      <c r="B73" s="89" t="s">
        <v>284</v>
      </c>
      <c r="C73" s="90">
        <f>229000+4000</f>
        <v>233000</v>
      </c>
      <c r="D73" s="183">
        <f t="shared" si="1"/>
        <v>233000</v>
      </c>
      <c r="E73" s="90"/>
      <c r="F73" s="90"/>
    </row>
    <row r="74" spans="1:6" ht="12.75" customHeight="1">
      <c r="A74" s="37" t="s">
        <v>218</v>
      </c>
      <c r="B74" s="89" t="s">
        <v>124</v>
      </c>
      <c r="C74" s="90">
        <v>2000</v>
      </c>
      <c r="D74" s="182">
        <f t="shared" si="1"/>
        <v>2000</v>
      </c>
      <c r="E74" s="90"/>
      <c r="F74" s="90"/>
    </row>
    <row r="75" spans="1:6" ht="12.75" customHeight="1">
      <c r="A75" s="37" t="s">
        <v>219</v>
      </c>
      <c r="B75" s="89" t="s">
        <v>125</v>
      </c>
      <c r="C75" s="90">
        <v>16000</v>
      </c>
      <c r="D75" s="182">
        <f t="shared" si="1"/>
        <v>16000</v>
      </c>
      <c r="E75" s="90"/>
      <c r="F75" s="90"/>
    </row>
    <row r="76" spans="1:6" ht="12.75" customHeight="1">
      <c r="A76" s="37" t="s">
        <v>220</v>
      </c>
      <c r="B76" s="89" t="s">
        <v>286</v>
      </c>
      <c r="C76" s="90">
        <v>8000</v>
      </c>
      <c r="D76" s="182">
        <f t="shared" si="1"/>
        <v>8000</v>
      </c>
      <c r="E76" s="90"/>
      <c r="F76" s="90"/>
    </row>
    <row r="77" spans="1:6" ht="12.75" customHeight="1">
      <c r="A77" s="37" t="s">
        <v>221</v>
      </c>
      <c r="B77" s="89" t="s">
        <v>133</v>
      </c>
      <c r="C77" s="90">
        <v>3000</v>
      </c>
      <c r="D77" s="182">
        <f t="shared" si="1"/>
        <v>3000</v>
      </c>
      <c r="E77" s="90"/>
      <c r="F77" s="90"/>
    </row>
    <row r="78" spans="1:6" ht="12.75" customHeight="1">
      <c r="A78" s="37" t="s">
        <v>222</v>
      </c>
      <c r="B78" s="89" t="s">
        <v>287</v>
      </c>
      <c r="C78" s="90">
        <v>20000</v>
      </c>
      <c r="D78" s="182">
        <f t="shared" si="1"/>
        <v>20000</v>
      </c>
      <c r="E78" s="90"/>
      <c r="F78" s="90"/>
    </row>
    <row r="79" spans="1:6">
      <c r="A79" s="37" t="s">
        <v>223</v>
      </c>
      <c r="B79" s="89" t="s">
        <v>120</v>
      </c>
      <c r="C79" s="90">
        <v>35000</v>
      </c>
      <c r="D79" s="182">
        <f t="shared" si="1"/>
        <v>35000</v>
      </c>
      <c r="E79" s="90"/>
      <c r="F79" s="90"/>
    </row>
    <row r="80" spans="1:6">
      <c r="A80" s="37" t="s">
        <v>224</v>
      </c>
      <c r="B80" s="55" t="s">
        <v>135</v>
      </c>
      <c r="C80" s="90">
        <v>10100</v>
      </c>
      <c r="D80" s="182">
        <f t="shared" si="1"/>
        <v>10100</v>
      </c>
      <c r="E80" s="90"/>
      <c r="F80" s="90"/>
    </row>
    <row r="81" spans="1:6">
      <c r="A81" s="37" t="s">
        <v>225</v>
      </c>
      <c r="B81" s="55" t="s">
        <v>326</v>
      </c>
      <c r="C81" s="90">
        <v>5000</v>
      </c>
      <c r="D81" s="182">
        <f t="shared" si="1"/>
        <v>5000</v>
      </c>
      <c r="E81" s="90"/>
      <c r="F81" s="90"/>
    </row>
    <row r="82" spans="1:6">
      <c r="A82" s="37" t="s">
        <v>226</v>
      </c>
      <c r="B82" s="55" t="s">
        <v>288</v>
      </c>
      <c r="C82" s="90">
        <v>200000</v>
      </c>
      <c r="D82" s="182">
        <f t="shared" si="1"/>
        <v>200000</v>
      </c>
      <c r="E82" s="90"/>
      <c r="F82" s="90"/>
    </row>
    <row r="83" spans="1:6">
      <c r="A83" s="37" t="s">
        <v>227</v>
      </c>
      <c r="B83" s="89" t="s">
        <v>289</v>
      </c>
      <c r="C83" s="90">
        <f>113000+78900</f>
        <v>191900</v>
      </c>
      <c r="D83" s="182">
        <f t="shared" si="1"/>
        <v>191900</v>
      </c>
      <c r="E83" s="90"/>
      <c r="F83" s="90"/>
    </row>
    <row r="84" spans="1:6">
      <c r="A84" s="37" t="s">
        <v>228</v>
      </c>
      <c r="B84" s="132" t="s">
        <v>395</v>
      </c>
      <c r="C84" s="58">
        <v>50000</v>
      </c>
      <c r="D84" s="182">
        <f t="shared" si="1"/>
        <v>50000</v>
      </c>
      <c r="E84" s="90"/>
      <c r="F84" s="90"/>
    </row>
    <row r="85" spans="1:6" ht="12.75" customHeight="1">
      <c r="A85" s="37" t="s">
        <v>229</v>
      </c>
      <c r="B85" s="89" t="s">
        <v>290</v>
      </c>
      <c r="C85" s="90">
        <f>625000+42300</f>
        <v>667300</v>
      </c>
      <c r="D85" s="182">
        <f t="shared" si="1"/>
        <v>667300</v>
      </c>
      <c r="E85" s="90"/>
      <c r="F85" s="90"/>
    </row>
    <row r="86" spans="1:6" ht="12.75" customHeight="1">
      <c r="A86" s="37" t="s">
        <v>230</v>
      </c>
      <c r="B86" s="132" t="s">
        <v>132</v>
      </c>
      <c r="C86" s="58">
        <v>30000</v>
      </c>
      <c r="D86" s="182">
        <f t="shared" si="1"/>
        <v>30000</v>
      </c>
      <c r="E86" s="90"/>
      <c r="F86" s="90"/>
    </row>
    <row r="87" spans="1:6" ht="25.5" customHeight="1">
      <c r="A87" s="37" t="s">
        <v>231</v>
      </c>
      <c r="B87" s="132" t="s">
        <v>391</v>
      </c>
      <c r="C87" s="58">
        <v>8700</v>
      </c>
      <c r="D87" s="183">
        <f t="shared" si="1"/>
        <v>8700</v>
      </c>
      <c r="E87" s="90"/>
      <c r="F87" s="90"/>
    </row>
    <row r="88" spans="1:6">
      <c r="A88" s="37" t="s">
        <v>232</v>
      </c>
      <c r="B88" s="132" t="s">
        <v>300</v>
      </c>
      <c r="C88" s="58">
        <v>902800</v>
      </c>
      <c r="D88" s="182">
        <f t="shared" si="1"/>
        <v>531800</v>
      </c>
      <c r="E88" s="90">
        <v>80700</v>
      </c>
      <c r="F88" s="90">
        <v>371000</v>
      </c>
    </row>
    <row r="89" spans="1:6">
      <c r="A89" s="37" t="s">
        <v>245</v>
      </c>
      <c r="B89" s="89" t="s">
        <v>393</v>
      </c>
      <c r="C89" s="90">
        <v>417200</v>
      </c>
      <c r="D89" s="182">
        <f t="shared" si="1"/>
        <v>162000</v>
      </c>
      <c r="E89" s="90"/>
      <c r="F89" s="90">
        <v>255200</v>
      </c>
    </row>
    <row r="90" spans="1:6">
      <c r="A90" s="37" t="s">
        <v>233</v>
      </c>
      <c r="B90" s="89" t="s">
        <v>126</v>
      </c>
      <c r="C90" s="90">
        <f>35000-2600</f>
        <v>32400</v>
      </c>
      <c r="D90" s="182">
        <f t="shared" si="1"/>
        <v>32400</v>
      </c>
      <c r="E90" s="90"/>
      <c r="F90" s="90"/>
    </row>
    <row r="91" spans="1:6">
      <c r="A91" s="37" t="s">
        <v>246</v>
      </c>
      <c r="B91" s="89" t="s">
        <v>131</v>
      </c>
      <c r="C91" s="90">
        <f>84300+38900</f>
        <v>123200</v>
      </c>
      <c r="D91" s="182">
        <f t="shared" si="1"/>
        <v>86200</v>
      </c>
      <c r="E91" s="90"/>
      <c r="F91" s="90">
        <v>37000</v>
      </c>
    </row>
    <row r="92" spans="1:6">
      <c r="A92" s="37" t="s">
        <v>254</v>
      </c>
      <c r="B92" s="89" t="s">
        <v>297</v>
      </c>
      <c r="C92" s="90">
        <f>6000+2600</f>
        <v>8600</v>
      </c>
      <c r="D92" s="182">
        <f t="shared" si="1"/>
        <v>8500</v>
      </c>
      <c r="E92" s="90"/>
      <c r="F92" s="90">
        <v>100</v>
      </c>
    </row>
    <row r="93" spans="1:6">
      <c r="A93" s="37" t="s">
        <v>255</v>
      </c>
      <c r="B93" s="89" t="s">
        <v>325</v>
      </c>
      <c r="C93" s="90">
        <v>60000</v>
      </c>
      <c r="D93" s="182">
        <f t="shared" si="1"/>
        <v>60000</v>
      </c>
      <c r="E93" s="90"/>
      <c r="F93" s="90"/>
    </row>
    <row r="94" spans="1:6">
      <c r="A94" s="37" t="s">
        <v>256</v>
      </c>
      <c r="B94" s="89" t="s">
        <v>127</v>
      </c>
      <c r="C94" s="90">
        <f>56000+35000</f>
        <v>91000</v>
      </c>
      <c r="D94" s="182">
        <f t="shared" si="1"/>
        <v>56000</v>
      </c>
      <c r="E94" s="90"/>
      <c r="F94" s="90">
        <v>35000</v>
      </c>
    </row>
    <row r="95" spans="1:6">
      <c r="A95" s="37" t="s">
        <v>291</v>
      </c>
      <c r="B95" s="89" t="s">
        <v>121</v>
      </c>
      <c r="C95" s="90">
        <f>1383200-1500+234800+1085000</f>
        <v>2701500</v>
      </c>
      <c r="D95" s="182">
        <f t="shared" si="1"/>
        <v>1167200</v>
      </c>
      <c r="E95" s="90">
        <v>400</v>
      </c>
      <c r="F95" s="90">
        <f>1006900-781200+223600+1085000</f>
        <v>1534300</v>
      </c>
    </row>
    <row r="96" spans="1:6">
      <c r="A96" s="37" t="s">
        <v>292</v>
      </c>
      <c r="B96" s="89" t="s">
        <v>398</v>
      </c>
      <c r="C96" s="58">
        <v>400</v>
      </c>
      <c r="D96" s="182">
        <f t="shared" si="1"/>
        <v>400</v>
      </c>
      <c r="E96" s="58"/>
      <c r="F96" s="58"/>
    </row>
    <row r="97" spans="1:6">
      <c r="A97" s="37" t="s">
        <v>293</v>
      </c>
      <c r="B97" s="89" t="s">
        <v>404</v>
      </c>
      <c r="C97" s="58">
        <v>500</v>
      </c>
      <c r="D97" s="182">
        <f t="shared" si="1"/>
        <v>500</v>
      </c>
      <c r="E97" s="58"/>
      <c r="F97" s="58"/>
    </row>
    <row r="98" spans="1:6" ht="25.5">
      <c r="A98" s="37" t="s">
        <v>294</v>
      </c>
      <c r="B98" s="89" t="s">
        <v>407</v>
      </c>
      <c r="C98" s="58">
        <v>1008900</v>
      </c>
      <c r="D98" s="140">
        <f t="shared" si="1"/>
        <v>503900</v>
      </c>
      <c r="E98" s="58"/>
      <c r="F98" s="58">
        <v>505000</v>
      </c>
    </row>
    <row r="99" spans="1:6">
      <c r="A99" s="37" t="s">
        <v>295</v>
      </c>
      <c r="B99" s="133" t="s">
        <v>138</v>
      </c>
      <c r="C99" s="27">
        <f>C14+C15+C16+C17+C18+C19+C20+C21+C22+C23+C24+C25+C26+C27+C28+C29+C30+C31+C32+C33+C34+C35+C36+C37+C38+C39+C40+C41+C42+C43+C44+C45+C46+C47+C48</f>
        <v>27003400</v>
      </c>
      <c r="D99" s="27">
        <f>D14+D15+D16+D17+D18+D19+D20+D21+D22+D23+D24+D25+D26+D27+D28+D29+D30+D31+D32+D33+D34+D35+D36+D37+D38+D39+D40+D41+D42+D43+D44+D45+D46+D47+D48</f>
        <v>23740500</v>
      </c>
      <c r="E99" s="27">
        <f>E14+E15+E16+E17+E18+E19+E20+E21+E22+E23+E24+E25+E26+E27+E28+E29+E30+E31+E32+E33+E34+E35+E36+E37+E38+E39+E40+E41+E42+E43+E44+E45+E46+E47+E48</f>
        <v>10845600</v>
      </c>
      <c r="F99" s="27">
        <f>F14+F15+F16+F17+F18+F19+F20+F21+F22+F23+F24+F25+F26+F27+F28+F29+F30+F31+F32+F33+F34+F35+F36+F37+F38+F39+F40+F41+F42+F43+F44+F45+F46+F47+F48</f>
        <v>3262900</v>
      </c>
    </row>
    <row r="100" spans="1:6">
      <c r="A100" s="227"/>
      <c r="B100" s="227"/>
      <c r="C100" s="227"/>
      <c r="D100" s="227"/>
      <c r="E100" s="227"/>
      <c r="F100" s="227"/>
    </row>
    <row r="101" spans="1:6">
      <c r="A101" s="223" t="s">
        <v>48</v>
      </c>
      <c r="B101" s="223"/>
      <c r="C101" s="223"/>
      <c r="D101" s="223"/>
      <c r="E101" s="223"/>
      <c r="F101" s="223"/>
    </row>
    <row r="102" spans="1:6">
      <c r="A102" s="88"/>
      <c r="B102" s="88"/>
      <c r="C102" s="88"/>
      <c r="D102" s="88"/>
      <c r="E102" s="88"/>
      <c r="F102" s="88"/>
    </row>
    <row r="103" spans="1:6">
      <c r="A103" s="88"/>
      <c r="B103" s="88"/>
      <c r="C103" s="88"/>
      <c r="D103" s="88"/>
      <c r="E103" s="88"/>
      <c r="F103" s="88"/>
    </row>
    <row r="104" spans="1:6">
      <c r="A104" s="88"/>
      <c r="B104" s="88"/>
      <c r="C104" s="88"/>
      <c r="D104" s="88"/>
      <c r="E104" s="88"/>
      <c r="F104" s="88"/>
    </row>
    <row r="105" spans="1:6">
      <c r="A105" s="88"/>
      <c r="B105" s="88"/>
      <c r="C105" s="88"/>
      <c r="D105" s="88"/>
      <c r="E105" s="88"/>
      <c r="F105" s="88"/>
    </row>
    <row r="106" spans="1:6">
      <c r="A106" s="88"/>
      <c r="B106" s="88"/>
      <c r="C106" s="88"/>
      <c r="D106" s="88"/>
      <c r="E106" s="88"/>
      <c r="F106" s="88"/>
    </row>
    <row r="107" spans="1:6">
      <c r="A107" s="88"/>
      <c r="B107" s="88"/>
      <c r="C107" s="88"/>
      <c r="D107" s="88"/>
      <c r="E107" s="88"/>
      <c r="F107" s="88"/>
    </row>
    <row r="108" spans="1:6">
      <c r="A108" s="88"/>
      <c r="B108" s="88"/>
      <c r="C108" s="88"/>
      <c r="D108" s="88"/>
      <c r="E108" s="88"/>
      <c r="F108" s="88"/>
    </row>
    <row r="109" spans="1:6">
      <c r="A109" s="88"/>
      <c r="B109" s="88"/>
      <c r="C109" s="88"/>
      <c r="D109" s="88"/>
      <c r="E109" s="88"/>
      <c r="F109" s="88"/>
    </row>
    <row r="110" spans="1:6">
      <c r="A110" s="88"/>
      <c r="B110" s="88"/>
      <c r="C110" s="88"/>
      <c r="D110" s="88"/>
      <c r="E110" s="88"/>
      <c r="F110" s="88"/>
    </row>
    <row r="111" spans="1:6">
      <c r="A111" s="88"/>
      <c r="B111" s="88"/>
      <c r="C111" s="88"/>
      <c r="D111" s="88"/>
      <c r="E111" s="88"/>
      <c r="F111" s="88"/>
    </row>
    <row r="112" spans="1:6">
      <c r="A112" s="88"/>
      <c r="B112" s="88"/>
      <c r="C112" s="88"/>
      <c r="D112" s="88"/>
      <c r="E112" s="88"/>
      <c r="F112" s="88"/>
    </row>
    <row r="113" spans="1:6">
      <c r="A113" s="88"/>
      <c r="B113" s="88"/>
      <c r="C113" s="88"/>
      <c r="D113" s="88"/>
      <c r="E113" s="88"/>
      <c r="F113" s="88"/>
    </row>
    <row r="114" spans="1:6">
      <c r="A114" s="88"/>
      <c r="B114" s="88"/>
      <c r="C114" s="88"/>
      <c r="D114" s="88"/>
      <c r="E114" s="88"/>
      <c r="F114" s="88"/>
    </row>
    <row r="115" spans="1:6">
      <c r="A115" s="88"/>
      <c r="B115" s="88"/>
      <c r="C115" s="88"/>
      <c r="D115" s="88"/>
      <c r="E115" s="88"/>
      <c r="F115" s="88"/>
    </row>
    <row r="116" spans="1:6">
      <c r="A116" s="88"/>
      <c r="B116" s="88"/>
      <c r="C116" s="88"/>
      <c r="D116" s="88"/>
      <c r="E116" s="88"/>
      <c r="F116" s="88"/>
    </row>
    <row r="117" spans="1:6">
      <c r="A117" s="88"/>
      <c r="B117" s="88"/>
      <c r="C117" s="88"/>
      <c r="D117" s="88"/>
      <c r="E117" s="88"/>
      <c r="F117" s="88"/>
    </row>
    <row r="118" spans="1:6">
      <c r="A118" s="88"/>
      <c r="B118" s="88"/>
      <c r="C118" s="88"/>
      <c r="D118" s="88"/>
      <c r="E118" s="88"/>
      <c r="F118" s="88"/>
    </row>
    <row r="119" spans="1:6">
      <c r="A119" s="88"/>
      <c r="B119" s="88"/>
      <c r="C119" s="88"/>
      <c r="D119" s="88"/>
      <c r="E119" s="88"/>
      <c r="F119" s="88"/>
    </row>
    <row r="120" spans="1:6">
      <c r="A120" s="88"/>
      <c r="B120" s="88"/>
      <c r="C120" s="88"/>
      <c r="D120" s="88"/>
      <c r="E120" s="88"/>
      <c r="F120" s="88"/>
    </row>
    <row r="121" spans="1:6">
      <c r="A121" s="88"/>
      <c r="B121" s="88"/>
      <c r="C121" s="88"/>
      <c r="D121" s="88"/>
      <c r="E121" s="88"/>
      <c r="F121" s="88"/>
    </row>
    <row r="122" spans="1:6">
      <c r="A122" s="88"/>
      <c r="B122" s="88"/>
      <c r="C122" s="88"/>
      <c r="D122" s="88"/>
      <c r="E122" s="88"/>
      <c r="F122" s="88"/>
    </row>
    <row r="123" spans="1:6">
      <c r="A123" s="88"/>
      <c r="B123" s="88"/>
      <c r="C123" s="88"/>
      <c r="D123" s="88"/>
      <c r="E123" s="88"/>
      <c r="F123" s="88"/>
    </row>
    <row r="124" spans="1:6">
      <c r="A124" s="88"/>
      <c r="B124" s="88"/>
      <c r="C124" s="88"/>
      <c r="D124" s="88"/>
      <c r="E124" s="88"/>
      <c r="F124" s="88"/>
    </row>
    <row r="125" spans="1:6">
      <c r="A125" s="88"/>
      <c r="B125" s="88"/>
      <c r="C125" s="88"/>
      <c r="D125" s="88"/>
      <c r="E125" s="88"/>
      <c r="F125" s="88"/>
    </row>
    <row r="126" spans="1:6">
      <c r="A126" s="88"/>
      <c r="B126" s="88"/>
      <c r="C126" s="88"/>
      <c r="D126" s="88"/>
      <c r="E126" s="88"/>
      <c r="F126" s="88"/>
    </row>
    <row r="127" spans="1:6">
      <c r="A127" s="88"/>
      <c r="B127" s="88"/>
      <c r="C127" s="88"/>
      <c r="D127" s="88"/>
      <c r="E127" s="88"/>
      <c r="F127" s="88"/>
    </row>
    <row r="128" spans="1:6">
      <c r="A128" s="91"/>
      <c r="B128" s="91"/>
      <c r="C128" s="91"/>
      <c r="D128" s="91"/>
      <c r="E128" s="91"/>
      <c r="F128" s="91"/>
    </row>
    <row r="129" spans="1:6">
      <c r="A129" s="91"/>
      <c r="B129" s="91"/>
      <c r="C129" s="91"/>
      <c r="D129" s="91"/>
      <c r="E129" s="91"/>
      <c r="F129" s="91"/>
    </row>
    <row r="130" spans="1:6">
      <c r="A130" s="91"/>
      <c r="B130" s="91"/>
      <c r="C130" s="91"/>
      <c r="D130" s="91"/>
      <c r="E130" s="91"/>
      <c r="F130" s="91"/>
    </row>
    <row r="131" spans="1:6">
      <c r="A131" s="91"/>
      <c r="B131" s="91"/>
      <c r="C131" s="91"/>
      <c r="D131" s="91"/>
      <c r="E131" s="91"/>
      <c r="F131" s="91"/>
    </row>
    <row r="132" spans="1:6">
      <c r="A132" s="91"/>
      <c r="B132" s="91"/>
      <c r="C132" s="91"/>
      <c r="D132" s="91"/>
      <c r="E132" s="91"/>
      <c r="F132" s="91"/>
    </row>
    <row r="133" spans="1:6">
      <c r="A133" s="91"/>
      <c r="B133" s="91"/>
      <c r="C133" s="91"/>
      <c r="D133" s="91"/>
      <c r="E133" s="91"/>
      <c r="F133" s="91"/>
    </row>
    <row r="134" spans="1:6">
      <c r="A134" s="91"/>
      <c r="B134" s="91"/>
      <c r="C134" s="91"/>
      <c r="D134" s="91"/>
      <c r="E134" s="91"/>
      <c r="F134" s="91"/>
    </row>
    <row r="135" spans="1:6">
      <c r="A135" s="91"/>
      <c r="B135" s="91"/>
      <c r="C135" s="91"/>
      <c r="D135" s="91"/>
      <c r="E135" s="91"/>
      <c r="F135" s="91"/>
    </row>
    <row r="136" spans="1:6">
      <c r="A136" s="91"/>
      <c r="B136" s="91"/>
      <c r="C136" s="91"/>
      <c r="D136" s="91"/>
      <c r="E136" s="91"/>
      <c r="F136" s="91"/>
    </row>
    <row r="137" spans="1:6">
      <c r="A137" s="91"/>
      <c r="B137" s="91"/>
      <c r="C137" s="91"/>
      <c r="D137" s="91"/>
      <c r="E137" s="91"/>
      <c r="F137" s="91"/>
    </row>
    <row r="138" spans="1:6">
      <c r="A138" s="91"/>
      <c r="B138" s="91"/>
      <c r="C138" s="91"/>
      <c r="D138" s="91"/>
      <c r="E138" s="91"/>
      <c r="F138" s="91"/>
    </row>
    <row r="139" spans="1:6">
      <c r="A139" s="91"/>
      <c r="B139" s="91"/>
      <c r="C139" s="91"/>
      <c r="D139" s="91"/>
      <c r="E139" s="91"/>
      <c r="F139" s="91"/>
    </row>
    <row r="140" spans="1:6">
      <c r="A140" s="91"/>
      <c r="B140" s="91"/>
      <c r="C140" s="91"/>
      <c r="D140" s="91"/>
      <c r="E140" s="91"/>
      <c r="F140" s="91"/>
    </row>
    <row r="141" spans="1:6">
      <c r="A141" s="91"/>
      <c r="B141" s="91"/>
      <c r="C141" s="91"/>
      <c r="D141" s="91"/>
      <c r="E141" s="91"/>
      <c r="F141" s="91"/>
    </row>
    <row r="142" spans="1:6">
      <c r="A142" s="91"/>
      <c r="B142" s="91"/>
      <c r="C142" s="91"/>
      <c r="D142" s="91"/>
      <c r="E142" s="91"/>
      <c r="F142" s="91"/>
    </row>
    <row r="143" spans="1:6">
      <c r="A143" s="91"/>
      <c r="B143" s="91"/>
      <c r="C143" s="91"/>
      <c r="D143" s="91"/>
      <c r="E143" s="91"/>
      <c r="F143" s="91"/>
    </row>
    <row r="144" spans="1:6">
      <c r="A144" s="91"/>
      <c r="B144" s="91"/>
      <c r="C144" s="91"/>
      <c r="D144" s="91"/>
      <c r="E144" s="91"/>
      <c r="F144" s="91"/>
    </row>
    <row r="145" spans="1:6">
      <c r="A145" s="91"/>
      <c r="B145" s="91"/>
      <c r="C145" s="91"/>
      <c r="D145" s="91"/>
      <c r="E145" s="91"/>
      <c r="F145" s="91"/>
    </row>
    <row r="146" spans="1:6">
      <c r="A146" s="91"/>
      <c r="B146" s="91"/>
      <c r="C146" s="91"/>
      <c r="D146" s="91"/>
      <c r="E146" s="91"/>
      <c r="F146" s="91"/>
    </row>
    <row r="147" spans="1:6">
      <c r="A147" s="91"/>
      <c r="B147" s="91"/>
      <c r="C147" s="91"/>
      <c r="D147" s="91"/>
      <c r="E147" s="91"/>
      <c r="F147" s="91"/>
    </row>
    <row r="148" spans="1:6">
      <c r="A148" s="91"/>
      <c r="B148" s="91"/>
      <c r="C148" s="91"/>
      <c r="D148" s="91"/>
      <c r="E148" s="91"/>
      <c r="F148" s="91"/>
    </row>
    <row r="149" spans="1:6">
      <c r="A149" s="91"/>
      <c r="B149" s="91"/>
      <c r="C149" s="91"/>
      <c r="D149" s="91"/>
      <c r="E149" s="91"/>
      <c r="F149" s="91"/>
    </row>
    <row r="150" spans="1:6">
      <c r="A150" s="91"/>
      <c r="B150" s="91"/>
      <c r="C150" s="91"/>
      <c r="D150" s="91"/>
      <c r="E150" s="91"/>
      <c r="F150" s="91"/>
    </row>
    <row r="151" spans="1:6">
      <c r="A151" s="91"/>
      <c r="B151" s="91"/>
      <c r="C151" s="91"/>
      <c r="D151" s="91"/>
      <c r="E151" s="91"/>
      <c r="F151" s="91"/>
    </row>
    <row r="152" spans="1:6">
      <c r="A152" s="91"/>
      <c r="B152" s="91"/>
      <c r="C152" s="91"/>
      <c r="D152" s="91"/>
      <c r="E152" s="91"/>
      <c r="F152" s="91"/>
    </row>
    <row r="153" spans="1:6">
      <c r="A153" s="91"/>
      <c r="B153" s="91"/>
      <c r="C153" s="91"/>
      <c r="D153" s="91"/>
      <c r="E153" s="91"/>
      <c r="F153" s="91"/>
    </row>
    <row r="154" spans="1:6">
      <c r="A154" s="91"/>
      <c r="B154" s="91"/>
      <c r="C154" s="91"/>
      <c r="D154" s="91"/>
      <c r="E154" s="91"/>
      <c r="F154" s="91"/>
    </row>
    <row r="155" spans="1:6">
      <c r="A155" s="91"/>
      <c r="B155" s="91"/>
      <c r="C155" s="91"/>
      <c r="D155" s="91"/>
      <c r="E155" s="91"/>
      <c r="F155" s="91"/>
    </row>
    <row r="156" spans="1:6">
      <c r="A156" s="91"/>
      <c r="B156" s="91"/>
      <c r="C156" s="91"/>
      <c r="D156" s="91"/>
      <c r="E156" s="91"/>
      <c r="F156" s="91"/>
    </row>
    <row r="157" spans="1:6">
      <c r="A157" s="91"/>
      <c r="B157" s="91"/>
      <c r="C157" s="91"/>
      <c r="D157" s="91"/>
      <c r="E157" s="91"/>
      <c r="F157" s="91"/>
    </row>
    <row r="158" spans="1:6">
      <c r="A158" s="91"/>
      <c r="B158" s="91"/>
      <c r="C158" s="91"/>
      <c r="D158" s="91"/>
      <c r="E158" s="91"/>
      <c r="F158" s="91"/>
    </row>
    <row r="159" spans="1:6">
      <c r="A159" s="91"/>
      <c r="B159" s="91"/>
      <c r="C159" s="91"/>
      <c r="D159" s="91"/>
      <c r="E159" s="91"/>
      <c r="F159" s="91"/>
    </row>
    <row r="160" spans="1:6">
      <c r="A160" s="91"/>
      <c r="B160" s="91"/>
      <c r="C160" s="91"/>
      <c r="D160" s="91"/>
      <c r="E160" s="91"/>
      <c r="F160" s="91"/>
    </row>
    <row r="161" spans="1:6">
      <c r="A161" s="91"/>
      <c r="B161" s="91"/>
      <c r="C161" s="91"/>
      <c r="D161" s="91"/>
      <c r="E161" s="91"/>
      <c r="F161" s="91"/>
    </row>
    <row r="162" spans="1:6">
      <c r="A162" s="91"/>
      <c r="B162" s="91"/>
      <c r="C162" s="91"/>
      <c r="D162" s="91"/>
      <c r="E162" s="91"/>
      <c r="F162" s="91"/>
    </row>
    <row r="163" spans="1:6">
      <c r="A163" s="91"/>
      <c r="B163" s="91"/>
      <c r="C163" s="91"/>
      <c r="D163" s="91"/>
      <c r="E163" s="91"/>
      <c r="F163" s="91"/>
    </row>
    <row r="164" spans="1:6">
      <c r="A164" s="91"/>
      <c r="B164" s="91"/>
      <c r="C164" s="91"/>
      <c r="D164" s="91"/>
      <c r="E164" s="91"/>
      <c r="F164" s="91"/>
    </row>
    <row r="165" spans="1:6">
      <c r="A165" s="91"/>
      <c r="B165" s="91"/>
      <c r="C165" s="91"/>
      <c r="D165" s="91"/>
      <c r="E165" s="91"/>
      <c r="F165" s="91"/>
    </row>
    <row r="166" spans="1:6">
      <c r="A166" s="91"/>
      <c r="B166" s="91"/>
      <c r="C166" s="91"/>
      <c r="D166" s="91"/>
      <c r="E166" s="91"/>
      <c r="F166" s="91"/>
    </row>
    <row r="167" spans="1:6">
      <c r="A167" s="91"/>
      <c r="B167" s="91"/>
      <c r="C167" s="91"/>
      <c r="D167" s="91"/>
      <c r="E167" s="91"/>
      <c r="F167" s="91"/>
    </row>
    <row r="168" spans="1:6">
      <c r="A168" s="91"/>
      <c r="B168" s="91"/>
      <c r="C168" s="91"/>
      <c r="D168" s="91"/>
      <c r="E168" s="91"/>
      <c r="F168" s="91"/>
    </row>
    <row r="169" spans="1:6">
      <c r="A169" s="91"/>
      <c r="B169" s="91"/>
      <c r="C169" s="91"/>
      <c r="D169" s="91"/>
      <c r="E169" s="91"/>
      <c r="F169" s="91"/>
    </row>
    <row r="170" spans="1:6">
      <c r="A170" s="91"/>
      <c r="B170" s="91"/>
      <c r="C170" s="91"/>
      <c r="D170" s="91"/>
      <c r="E170" s="91"/>
      <c r="F170" s="91"/>
    </row>
    <row r="171" spans="1:6">
      <c r="A171" s="91"/>
      <c r="B171" s="91"/>
      <c r="C171" s="91"/>
      <c r="D171" s="91"/>
      <c r="E171" s="91"/>
      <c r="F171" s="91"/>
    </row>
    <row r="172" spans="1:6">
      <c r="A172" s="91"/>
      <c r="B172" s="91"/>
      <c r="C172" s="91"/>
      <c r="D172" s="91"/>
      <c r="E172" s="91"/>
      <c r="F172" s="91"/>
    </row>
    <row r="173" spans="1:6">
      <c r="A173" s="91"/>
      <c r="B173" s="91"/>
      <c r="C173" s="91"/>
      <c r="D173" s="91"/>
      <c r="E173" s="91"/>
      <c r="F173" s="91"/>
    </row>
    <row r="174" spans="1:6">
      <c r="A174" s="91"/>
      <c r="B174" s="91"/>
      <c r="C174" s="91"/>
      <c r="D174" s="91"/>
      <c r="E174" s="91"/>
      <c r="F174" s="91"/>
    </row>
    <row r="175" spans="1:6">
      <c r="A175" s="91"/>
      <c r="B175" s="91"/>
      <c r="C175" s="91"/>
      <c r="D175" s="91"/>
      <c r="E175" s="91"/>
      <c r="F175" s="91"/>
    </row>
    <row r="176" spans="1:6">
      <c r="A176" s="91"/>
      <c r="B176" s="91"/>
      <c r="C176" s="91"/>
      <c r="D176" s="91"/>
      <c r="E176" s="91"/>
      <c r="F176" s="91"/>
    </row>
    <row r="177" spans="1:6">
      <c r="A177" s="91"/>
      <c r="B177" s="91"/>
      <c r="C177" s="91"/>
      <c r="D177" s="91"/>
      <c r="E177" s="91"/>
      <c r="F177" s="91"/>
    </row>
    <row r="178" spans="1:6">
      <c r="A178" s="91"/>
      <c r="B178" s="91"/>
      <c r="C178" s="91"/>
      <c r="D178" s="91"/>
      <c r="E178" s="91"/>
      <c r="F178" s="91"/>
    </row>
    <row r="179" spans="1:6">
      <c r="A179" s="91"/>
      <c r="B179" s="91"/>
      <c r="C179" s="91"/>
      <c r="D179" s="91"/>
      <c r="E179" s="91"/>
      <c r="F179" s="91"/>
    </row>
    <row r="180" spans="1:6">
      <c r="A180" s="91"/>
      <c r="B180" s="91"/>
      <c r="C180" s="91"/>
      <c r="D180" s="91"/>
      <c r="E180" s="91"/>
      <c r="F180" s="91"/>
    </row>
    <row r="181" spans="1:6">
      <c r="A181" s="91"/>
      <c r="B181" s="91"/>
      <c r="C181" s="91"/>
      <c r="D181" s="91"/>
      <c r="E181" s="91"/>
      <c r="F181" s="91"/>
    </row>
  </sheetData>
  <mergeCells count="15">
    <mergeCell ref="D1:F1"/>
    <mergeCell ref="D2:F2"/>
    <mergeCell ref="D3:F3"/>
    <mergeCell ref="D4:F4"/>
    <mergeCell ref="A100:F100"/>
    <mergeCell ref="A101:F101"/>
    <mergeCell ref="A5:F7"/>
    <mergeCell ref="C8:F8"/>
    <mergeCell ref="A9:A12"/>
    <mergeCell ref="B9:B12"/>
    <mergeCell ref="C9:F9"/>
    <mergeCell ref="C10:C12"/>
    <mergeCell ref="D10:F10"/>
    <mergeCell ref="D11:E11"/>
    <mergeCell ref="F11:F12"/>
  </mergeCells>
  <phoneticPr fontId="5" type="noConversion"/>
  <pageMargins left="0.78740157480314965" right="0.39370078740157483" top="0.39370078740157483" bottom="0.39370078740157483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K50"/>
  <sheetViews>
    <sheetView tabSelected="1" zoomScale="135" zoomScaleNormal="135" workbookViewId="0">
      <selection activeCell="E3" sqref="E3:G3"/>
    </sheetView>
  </sheetViews>
  <sheetFormatPr defaultRowHeight="12.75"/>
  <cols>
    <col min="1" max="1" width="4" customWidth="1"/>
    <col min="2" max="2" width="10.140625" customWidth="1"/>
    <col min="3" max="3" width="35.28515625" customWidth="1"/>
    <col min="4" max="5" width="10.140625" customWidth="1"/>
    <col min="6" max="6" width="11.28515625" customWidth="1"/>
    <col min="7" max="7" width="10.7109375" customWidth="1"/>
  </cols>
  <sheetData>
    <row r="1" spans="1:8" ht="14.1" customHeight="1">
      <c r="A1" s="3"/>
      <c r="B1" s="3"/>
      <c r="C1" s="3"/>
      <c r="D1" s="35"/>
      <c r="E1" s="207" t="s">
        <v>7</v>
      </c>
      <c r="F1" s="207"/>
      <c r="G1" s="207"/>
    </row>
    <row r="2" spans="1:8" ht="14.1" customHeight="1">
      <c r="A2" s="3"/>
      <c r="B2" s="3"/>
      <c r="C2" s="3"/>
      <c r="D2" s="35"/>
      <c r="E2" s="207" t="s">
        <v>406</v>
      </c>
      <c r="F2" s="207"/>
      <c r="G2" s="207"/>
    </row>
    <row r="3" spans="1:8" ht="14.1" customHeight="1">
      <c r="A3" s="1"/>
      <c r="B3" s="2"/>
      <c r="C3" s="3"/>
      <c r="D3" s="35"/>
      <c r="E3" s="207" t="s">
        <v>411</v>
      </c>
      <c r="F3" s="207"/>
      <c r="G3" s="207"/>
    </row>
    <row r="4" spans="1:8" ht="14.1" customHeight="1">
      <c r="A4" s="1"/>
      <c r="B4" s="2"/>
      <c r="C4" s="16"/>
      <c r="D4" s="16"/>
      <c r="E4" s="208" t="s">
        <v>140</v>
      </c>
      <c r="F4" s="208"/>
      <c r="G4" s="208"/>
    </row>
    <row r="5" spans="1:8" ht="12.75" customHeight="1">
      <c r="A5" s="1"/>
      <c r="B5" s="2"/>
      <c r="C5" s="3"/>
      <c r="D5" s="16"/>
      <c r="E5" s="16"/>
      <c r="F5" s="16"/>
      <c r="G5" s="16"/>
    </row>
    <row r="6" spans="1:8" ht="12" customHeight="1">
      <c r="A6" s="195" t="s">
        <v>389</v>
      </c>
      <c r="B6" s="195"/>
      <c r="C6" s="195"/>
      <c r="D6" s="195"/>
      <c r="E6" s="195"/>
      <c r="F6" s="195"/>
      <c r="G6" s="195"/>
      <c r="H6" s="48"/>
    </row>
    <row r="7" spans="1:8" ht="12" customHeight="1">
      <c r="A7" s="195"/>
      <c r="B7" s="195"/>
      <c r="C7" s="195"/>
      <c r="D7" s="195"/>
      <c r="E7" s="195"/>
      <c r="F7" s="195"/>
      <c r="G7" s="195"/>
      <c r="H7" s="48"/>
    </row>
    <row r="8" spans="1:8" ht="15" customHeight="1">
      <c r="A8" s="1"/>
      <c r="B8" s="2"/>
      <c r="C8" s="3"/>
      <c r="D8" s="230"/>
      <c r="E8" s="230"/>
      <c r="F8" s="224" t="s">
        <v>266</v>
      </c>
      <c r="G8" s="224"/>
      <c r="H8" s="33"/>
    </row>
    <row r="9" spans="1:8" ht="12.75" customHeight="1">
      <c r="A9" s="192" t="s">
        <v>0</v>
      </c>
      <c r="B9" s="204" t="s">
        <v>1</v>
      </c>
      <c r="C9" s="192" t="s">
        <v>112</v>
      </c>
      <c r="D9" s="226" t="s">
        <v>130</v>
      </c>
      <c r="E9" s="197"/>
      <c r="F9" s="197"/>
      <c r="G9" s="198"/>
    </row>
    <row r="10" spans="1:8" ht="12.75" customHeight="1">
      <c r="A10" s="199"/>
      <c r="B10" s="205"/>
      <c r="C10" s="199"/>
      <c r="D10" s="192" t="s">
        <v>3</v>
      </c>
      <c r="E10" s="214" t="s">
        <v>4</v>
      </c>
      <c r="F10" s="214"/>
      <c r="G10" s="215"/>
    </row>
    <row r="11" spans="1:8">
      <c r="A11" s="199"/>
      <c r="B11" s="205"/>
      <c r="C11" s="199"/>
      <c r="D11" s="199"/>
      <c r="E11" s="216" t="s">
        <v>128</v>
      </c>
      <c r="F11" s="216"/>
      <c r="G11" s="192" t="s">
        <v>50</v>
      </c>
    </row>
    <row r="12" spans="1:8" ht="24.75" customHeight="1">
      <c r="A12" s="200"/>
      <c r="B12" s="206"/>
      <c r="C12" s="200"/>
      <c r="D12" s="200"/>
      <c r="E12" s="92" t="s">
        <v>129</v>
      </c>
      <c r="F12" s="94" t="s">
        <v>8</v>
      </c>
      <c r="G12" s="200"/>
    </row>
    <row r="13" spans="1:8" ht="12" customHeight="1">
      <c r="A13" s="5">
        <v>1</v>
      </c>
      <c r="B13" s="79" t="s">
        <v>5</v>
      </c>
      <c r="C13" s="4">
        <v>3</v>
      </c>
      <c r="D13" s="4">
        <v>5</v>
      </c>
      <c r="E13" s="4">
        <v>6</v>
      </c>
      <c r="F13" s="4">
        <v>7</v>
      </c>
      <c r="G13" s="4">
        <v>8</v>
      </c>
    </row>
    <row r="14" spans="1:8" ht="25.5">
      <c r="A14" s="75" t="s">
        <v>84</v>
      </c>
      <c r="B14" s="204" t="s">
        <v>10</v>
      </c>
      <c r="C14" s="17" t="s">
        <v>11</v>
      </c>
      <c r="D14" s="82">
        <f>SUM(D15:D20)</f>
        <v>10481200</v>
      </c>
      <c r="E14" s="82">
        <f>SUM(E15:E20)</f>
        <v>10435600</v>
      </c>
      <c r="F14" s="82">
        <f>SUM(F15:F20)</f>
        <v>6316200</v>
      </c>
      <c r="G14" s="82">
        <f>SUM(G15:G20)</f>
        <v>45600</v>
      </c>
    </row>
    <row r="15" spans="1:8">
      <c r="A15" s="78" t="s">
        <v>85</v>
      </c>
      <c r="B15" s="205"/>
      <c r="C15" s="18" t="s">
        <v>113</v>
      </c>
      <c r="D15" s="20">
        <v>4580500</v>
      </c>
      <c r="E15" s="20">
        <f t="shared" ref="E15:E20" si="0">D15-G15</f>
        <v>4534900</v>
      </c>
      <c r="F15" s="20">
        <v>2476200</v>
      </c>
      <c r="G15" s="20">
        <f>38700+6900</f>
        <v>45600</v>
      </c>
    </row>
    <row r="16" spans="1:8">
      <c r="A16" s="78" t="s">
        <v>86</v>
      </c>
      <c r="B16" s="205"/>
      <c r="C16" s="18" t="s">
        <v>114</v>
      </c>
      <c r="D16" s="20">
        <v>5214700</v>
      </c>
      <c r="E16" s="20">
        <f t="shared" si="0"/>
        <v>5214700</v>
      </c>
      <c r="F16" s="20">
        <v>3746600</v>
      </c>
      <c r="G16" s="20"/>
    </row>
    <row r="17" spans="1:11">
      <c r="A17" s="75" t="s">
        <v>87</v>
      </c>
      <c r="B17" s="205"/>
      <c r="C17" s="18" t="s">
        <v>115</v>
      </c>
      <c r="D17" s="41">
        <v>206000</v>
      </c>
      <c r="E17" s="20">
        <f t="shared" si="0"/>
        <v>206000</v>
      </c>
      <c r="F17" s="41"/>
      <c r="G17" s="41"/>
      <c r="K17" s="47"/>
    </row>
    <row r="18" spans="1:11">
      <c r="A18" s="75" t="s">
        <v>88</v>
      </c>
      <c r="B18" s="205"/>
      <c r="C18" s="18" t="s">
        <v>310</v>
      </c>
      <c r="D18" s="41">
        <v>94700</v>
      </c>
      <c r="E18" s="20">
        <f t="shared" si="0"/>
        <v>94700</v>
      </c>
      <c r="F18" s="41">
        <v>64700</v>
      </c>
      <c r="G18" s="41"/>
    </row>
    <row r="19" spans="1:11">
      <c r="A19" s="75" t="s">
        <v>89</v>
      </c>
      <c r="B19" s="205"/>
      <c r="C19" s="18" t="s">
        <v>116</v>
      </c>
      <c r="D19" s="41">
        <f>294300+5900</f>
        <v>300200</v>
      </c>
      <c r="E19" s="20">
        <f t="shared" si="0"/>
        <v>300200</v>
      </c>
      <c r="F19" s="41">
        <v>26900</v>
      </c>
      <c r="G19" s="41"/>
    </row>
    <row r="20" spans="1:11">
      <c r="A20" s="75" t="s">
        <v>90</v>
      </c>
      <c r="B20" s="205"/>
      <c r="C20" s="18" t="s">
        <v>311</v>
      </c>
      <c r="D20" s="41">
        <v>85100</v>
      </c>
      <c r="E20" s="20">
        <f t="shared" si="0"/>
        <v>85100</v>
      </c>
      <c r="F20" s="41">
        <v>1800</v>
      </c>
      <c r="G20" s="41"/>
    </row>
    <row r="21" spans="1:11" ht="25.5">
      <c r="A21" s="75" t="s">
        <v>91</v>
      </c>
      <c r="B21" s="228" t="s">
        <v>9</v>
      </c>
      <c r="C21" s="8" t="s">
        <v>16</v>
      </c>
      <c r="D21" s="83">
        <f>SUM(D22:D25)</f>
        <v>4355900</v>
      </c>
      <c r="E21" s="83">
        <f>SUM(E22:E25)</f>
        <v>4340900</v>
      </c>
      <c r="F21" s="83">
        <f>SUM(F22:F25)</f>
        <v>1601300</v>
      </c>
      <c r="G21" s="83">
        <f>SUM(G22:G25)</f>
        <v>15000</v>
      </c>
    </row>
    <row r="22" spans="1:11" ht="12" customHeight="1">
      <c r="A22" s="76" t="s">
        <v>92</v>
      </c>
      <c r="B22" s="229"/>
      <c r="C22" s="18" t="s">
        <v>113</v>
      </c>
      <c r="D22" s="134">
        <f>2354400-4000</f>
        <v>2350400</v>
      </c>
      <c r="E22" s="20">
        <f>D22-G22</f>
        <v>2345400</v>
      </c>
      <c r="F22" s="134">
        <v>664100</v>
      </c>
      <c r="G22" s="134">
        <v>5000</v>
      </c>
    </row>
    <row r="23" spans="1:11">
      <c r="A23" s="76" t="s">
        <v>93</v>
      </c>
      <c r="B23" s="229"/>
      <c r="C23" s="18" t="s">
        <v>310</v>
      </c>
      <c r="D23" s="23">
        <f>137700+11500-400</f>
        <v>148800</v>
      </c>
      <c r="E23" s="20">
        <f>D23-G23</f>
        <v>148800</v>
      </c>
      <c r="F23" s="24">
        <f>100900+7000</f>
        <v>107900</v>
      </c>
      <c r="G23" s="24"/>
    </row>
    <row r="24" spans="1:11" ht="12.75" customHeight="1">
      <c r="A24" s="76" t="s">
        <v>94</v>
      </c>
      <c r="B24" s="229"/>
      <c r="C24" s="18" t="s">
        <v>115</v>
      </c>
      <c r="D24" s="23">
        <f>893900+400</f>
        <v>894300</v>
      </c>
      <c r="E24" s="20">
        <f>D24-G24</f>
        <v>894300</v>
      </c>
      <c r="F24" s="180">
        <f>373000</f>
        <v>373000</v>
      </c>
      <c r="G24" s="23"/>
    </row>
    <row r="25" spans="1:11">
      <c r="A25" s="75" t="s">
        <v>95</v>
      </c>
      <c r="B25" s="229"/>
      <c r="C25" s="18" t="s">
        <v>116</v>
      </c>
      <c r="D25" s="23">
        <v>962400</v>
      </c>
      <c r="E25" s="20">
        <f>D25-G25</f>
        <v>952400</v>
      </c>
      <c r="F25" s="23">
        <v>456300</v>
      </c>
      <c r="G25" s="23">
        <v>10000</v>
      </c>
    </row>
    <row r="26" spans="1:11" ht="25.5">
      <c r="A26" s="37" t="s">
        <v>96</v>
      </c>
      <c r="B26" s="228" t="s">
        <v>53</v>
      </c>
      <c r="C26" s="22" t="s">
        <v>268</v>
      </c>
      <c r="D26" s="98">
        <f>SUM(D27:D28)</f>
        <v>1764400</v>
      </c>
      <c r="E26" s="98">
        <f>SUM(E27:E28)</f>
        <v>1705400</v>
      </c>
      <c r="F26" s="83">
        <f>SUM(F27:F28)</f>
        <v>856800</v>
      </c>
      <c r="G26" s="83">
        <f>SUM(G27:G28)</f>
        <v>59000</v>
      </c>
    </row>
    <row r="27" spans="1:11">
      <c r="A27" s="37" t="s">
        <v>97</v>
      </c>
      <c r="B27" s="229"/>
      <c r="C27" s="18" t="s">
        <v>113</v>
      </c>
      <c r="D27" s="23">
        <f>1745600+1500+4000</f>
        <v>1751100</v>
      </c>
      <c r="E27" s="20">
        <f>D27-G27</f>
        <v>1692100</v>
      </c>
      <c r="F27" s="23">
        <v>856800</v>
      </c>
      <c r="G27" s="23">
        <v>59000</v>
      </c>
    </row>
    <row r="28" spans="1:11" ht="12.75" customHeight="1">
      <c r="A28" s="37" t="s">
        <v>98</v>
      </c>
      <c r="B28" s="229"/>
      <c r="C28" s="18" t="s">
        <v>116</v>
      </c>
      <c r="D28" s="23">
        <v>13300</v>
      </c>
      <c r="E28" s="20">
        <f>D28-G28</f>
        <v>13300</v>
      </c>
      <c r="F28" s="23"/>
      <c r="G28" s="23"/>
    </row>
    <row r="29" spans="1:11" ht="25.5">
      <c r="A29" s="75" t="s">
        <v>99</v>
      </c>
      <c r="B29" s="228" t="s">
        <v>19</v>
      </c>
      <c r="C29" s="22" t="s">
        <v>20</v>
      </c>
      <c r="D29" s="98">
        <f>SUM(D30:D33)</f>
        <v>4060400</v>
      </c>
      <c r="E29" s="98">
        <f>SUM(E30:E33)</f>
        <v>3654700</v>
      </c>
      <c r="F29" s="83">
        <f>SUM(F30:F33)</f>
        <v>1955300</v>
      </c>
      <c r="G29" s="83">
        <f>SUM(G30:G33)</f>
        <v>405700</v>
      </c>
    </row>
    <row r="30" spans="1:11">
      <c r="A30" s="77" t="s">
        <v>100</v>
      </c>
      <c r="B30" s="229"/>
      <c r="C30" s="18" t="s">
        <v>113</v>
      </c>
      <c r="D30" s="23">
        <v>3085200</v>
      </c>
      <c r="E30" s="20">
        <f t="shared" ref="E30:E42" si="1">D30-G30</f>
        <v>2679500</v>
      </c>
      <c r="F30" s="23">
        <v>1392000</v>
      </c>
      <c r="G30" s="23">
        <v>405700</v>
      </c>
    </row>
    <row r="31" spans="1:11">
      <c r="A31" s="75" t="s">
        <v>101</v>
      </c>
      <c r="B31" s="229"/>
      <c r="C31" s="18" t="s">
        <v>115</v>
      </c>
      <c r="D31" s="23">
        <f>932900+6800</f>
        <v>939700</v>
      </c>
      <c r="E31" s="20">
        <f t="shared" si="1"/>
        <v>939700</v>
      </c>
      <c r="F31" s="23">
        <f>558600+4700</f>
        <v>563300</v>
      </c>
      <c r="G31" s="23"/>
    </row>
    <row r="32" spans="1:11">
      <c r="A32" s="75" t="s">
        <v>102</v>
      </c>
      <c r="B32" s="229"/>
      <c r="C32" s="18" t="s">
        <v>310</v>
      </c>
      <c r="D32" s="23">
        <f>12700-12700+500</f>
        <v>500</v>
      </c>
      <c r="E32" s="20">
        <f t="shared" si="1"/>
        <v>500</v>
      </c>
      <c r="F32" s="23">
        <f>9700-9700</f>
        <v>0</v>
      </c>
      <c r="G32" s="23"/>
    </row>
    <row r="33" spans="1:7">
      <c r="A33" s="75" t="s">
        <v>103</v>
      </c>
      <c r="B33" s="229"/>
      <c r="C33" s="18" t="s">
        <v>116</v>
      </c>
      <c r="D33" s="23">
        <v>35000</v>
      </c>
      <c r="E33" s="20">
        <f t="shared" si="1"/>
        <v>35000</v>
      </c>
      <c r="F33" s="23"/>
      <c r="G33" s="10"/>
    </row>
    <row r="34" spans="1:7" ht="25.5">
      <c r="A34" s="75" t="s">
        <v>104</v>
      </c>
      <c r="B34" s="228" t="s">
        <v>22</v>
      </c>
      <c r="C34" s="80" t="s">
        <v>111</v>
      </c>
      <c r="D34" s="83">
        <f>SUM(D35:D36)</f>
        <v>947900</v>
      </c>
      <c r="E34" s="83">
        <f>SUM(E35:E36)</f>
        <v>947900</v>
      </c>
      <c r="F34" s="83">
        <f>SUM(F35:F36)</f>
        <v>0</v>
      </c>
      <c r="G34" s="83">
        <f>SUM(G35:G36)</f>
        <v>0</v>
      </c>
    </row>
    <row r="35" spans="1:7">
      <c r="A35" s="75" t="s">
        <v>105</v>
      </c>
      <c r="B35" s="229"/>
      <c r="C35" s="18" t="s">
        <v>113</v>
      </c>
      <c r="D35" s="28">
        <f>818000+121200</f>
        <v>939200</v>
      </c>
      <c r="E35" s="20">
        <f>D35-G35</f>
        <v>939200</v>
      </c>
      <c r="F35" s="83"/>
      <c r="G35" s="83"/>
    </row>
    <row r="36" spans="1:7">
      <c r="A36" s="75" t="s">
        <v>106</v>
      </c>
      <c r="B36" s="229"/>
      <c r="C36" s="18" t="s">
        <v>310</v>
      </c>
      <c r="D36" s="23">
        <v>8700</v>
      </c>
      <c r="E36" s="20">
        <f>D36-G36</f>
        <v>8700</v>
      </c>
      <c r="F36" s="30"/>
      <c r="G36" s="28"/>
    </row>
    <row r="37" spans="1:7" ht="25.5">
      <c r="A37" s="75" t="s">
        <v>107</v>
      </c>
      <c r="B37" s="228" t="s">
        <v>75</v>
      </c>
      <c r="C37" s="80" t="s">
        <v>240</v>
      </c>
      <c r="D37" s="83">
        <f>SUM(D38:D40)</f>
        <v>2692100</v>
      </c>
      <c r="E37" s="30">
        <f>SUM(E38:E40)</f>
        <v>1488800</v>
      </c>
      <c r="F37" s="30">
        <f>SUM(F38:F40)</f>
        <v>115600</v>
      </c>
      <c r="G37" s="83">
        <f>SUM(G38:G40)</f>
        <v>1203300</v>
      </c>
    </row>
    <row r="38" spans="1:7" ht="12.75" customHeight="1">
      <c r="A38" s="75" t="s">
        <v>108</v>
      </c>
      <c r="B38" s="229"/>
      <c r="C38" s="18" t="s">
        <v>113</v>
      </c>
      <c r="D38" s="23">
        <f>1561300+73900</f>
        <v>1635200</v>
      </c>
      <c r="E38" s="20">
        <f t="shared" si="1"/>
        <v>936900</v>
      </c>
      <c r="F38" s="23">
        <v>80700</v>
      </c>
      <c r="G38" s="23">
        <f>663200+35100</f>
        <v>698300</v>
      </c>
    </row>
    <row r="39" spans="1:7" ht="12.75" customHeight="1">
      <c r="A39" s="75" t="s">
        <v>109</v>
      </c>
      <c r="B39" s="229"/>
      <c r="C39" s="18" t="s">
        <v>115</v>
      </c>
      <c r="D39" s="23">
        <v>48000</v>
      </c>
      <c r="E39" s="20">
        <f>D39-G39</f>
        <v>48000</v>
      </c>
      <c r="F39" s="23">
        <v>34900</v>
      </c>
      <c r="G39" s="23"/>
    </row>
    <row r="40" spans="1:7" ht="12.75" customHeight="1">
      <c r="A40" s="75" t="s">
        <v>110</v>
      </c>
      <c r="B40" s="229"/>
      <c r="C40" s="18" t="s">
        <v>312</v>
      </c>
      <c r="D40" s="23">
        <v>1008900</v>
      </c>
      <c r="E40" s="20">
        <f>D40-G40</f>
        <v>503900</v>
      </c>
      <c r="F40" s="23"/>
      <c r="G40" s="23">
        <v>505000</v>
      </c>
    </row>
    <row r="41" spans="1:7" ht="12.75" customHeight="1">
      <c r="A41" s="75" t="s">
        <v>185</v>
      </c>
      <c r="B41" s="228" t="s">
        <v>76</v>
      </c>
      <c r="C41" s="22" t="s">
        <v>78</v>
      </c>
      <c r="D41" s="96">
        <f>SUM(D42:D44)</f>
        <v>2701500</v>
      </c>
      <c r="E41" s="97">
        <f>SUM(E42:E44)</f>
        <v>1167200</v>
      </c>
      <c r="F41" s="97">
        <f>SUM(F42:F44)</f>
        <v>400</v>
      </c>
      <c r="G41" s="97">
        <f>SUM(G42:G44)</f>
        <v>1534300</v>
      </c>
    </row>
    <row r="42" spans="1:7">
      <c r="A42" s="75" t="s">
        <v>186</v>
      </c>
      <c r="B42" s="229"/>
      <c r="C42" s="18" t="s">
        <v>113</v>
      </c>
      <c r="D42" s="23">
        <f>602000-1500+40100</f>
        <v>640600</v>
      </c>
      <c r="E42" s="20">
        <f t="shared" si="1"/>
        <v>359200</v>
      </c>
      <c r="F42" s="21">
        <v>400</v>
      </c>
      <c r="G42" s="21">
        <f>225700+55700</f>
        <v>281400</v>
      </c>
    </row>
    <row r="43" spans="1:7">
      <c r="A43" s="75" t="s">
        <v>187</v>
      </c>
      <c r="B43" s="229"/>
      <c r="C43" s="18" t="s">
        <v>312</v>
      </c>
      <c r="D43" s="23">
        <f>781200+1085000</f>
        <v>1866200</v>
      </c>
      <c r="E43" s="20">
        <f>D43-G43</f>
        <v>781200</v>
      </c>
      <c r="F43" s="21"/>
      <c r="G43" s="21">
        <v>1085000</v>
      </c>
    </row>
    <row r="44" spans="1:7">
      <c r="A44" s="75" t="s">
        <v>188</v>
      </c>
      <c r="B44" s="229"/>
      <c r="C44" s="18" t="s">
        <v>311</v>
      </c>
      <c r="D44" s="23">
        <v>194700</v>
      </c>
      <c r="E44" s="20">
        <f>D44-G44</f>
        <v>26800</v>
      </c>
      <c r="F44" s="21"/>
      <c r="G44" s="21">
        <v>167900</v>
      </c>
    </row>
    <row r="45" spans="1:7">
      <c r="A45" s="7" t="s">
        <v>189</v>
      </c>
      <c r="B45" s="81"/>
      <c r="C45" s="108" t="s">
        <v>138</v>
      </c>
      <c r="D45" s="27">
        <f>SUM(D41+D37+D34+D29+D26+D21+D14)</f>
        <v>27003400</v>
      </c>
      <c r="E45" s="27">
        <f>SUM(E41+E37+E34+E29+E26+E21+E14)</f>
        <v>23740500</v>
      </c>
      <c r="F45" s="27">
        <f>SUM(F41+F37+F34+F29+F26+F21+F14)</f>
        <v>10845600</v>
      </c>
      <c r="G45" s="27">
        <f>SUM(G41+G37+G34+G29+G26+G21+G14)</f>
        <v>3262900</v>
      </c>
    </row>
    <row r="46" spans="1:7">
      <c r="A46" s="190" t="s">
        <v>329</v>
      </c>
      <c r="B46" s="190"/>
      <c r="C46" s="190"/>
      <c r="D46" s="190"/>
      <c r="E46" s="190"/>
      <c r="F46" s="190"/>
      <c r="G46" s="190"/>
    </row>
    <row r="47" spans="1:7">
      <c r="A47" s="47"/>
      <c r="B47" s="47"/>
      <c r="C47" s="47"/>
      <c r="D47" s="47"/>
      <c r="E47" s="47"/>
      <c r="F47" s="47"/>
      <c r="G47" s="47"/>
    </row>
    <row r="48" spans="1:7">
      <c r="A48" s="47"/>
      <c r="B48" s="47"/>
      <c r="C48" s="47"/>
      <c r="D48" s="47"/>
      <c r="E48" s="47"/>
      <c r="F48" s="47"/>
      <c r="G48" s="47"/>
    </row>
    <row r="49" spans="1:7">
      <c r="A49" s="47"/>
      <c r="B49" s="47"/>
      <c r="C49" s="47"/>
      <c r="D49" s="47"/>
      <c r="E49" s="47"/>
      <c r="F49" s="47"/>
      <c r="G49" s="47"/>
    </row>
    <row r="50" spans="1:7">
      <c r="A50" s="47"/>
      <c r="B50" s="47"/>
      <c r="C50" s="47"/>
      <c r="D50" s="47"/>
      <c r="E50" s="47"/>
      <c r="F50" s="47"/>
      <c r="G50" s="47"/>
    </row>
  </sheetData>
  <mergeCells count="23">
    <mergeCell ref="D8:E8"/>
    <mergeCell ref="F8:G8"/>
    <mergeCell ref="E1:G1"/>
    <mergeCell ref="E2:G2"/>
    <mergeCell ref="E3:G3"/>
    <mergeCell ref="E4:G4"/>
    <mergeCell ref="A6:G7"/>
    <mergeCell ref="A46:G46"/>
    <mergeCell ref="A9:A12"/>
    <mergeCell ref="B9:B12"/>
    <mergeCell ref="D10:D12"/>
    <mergeCell ref="E10:G10"/>
    <mergeCell ref="B41:B44"/>
    <mergeCell ref="B14:B20"/>
    <mergeCell ref="B21:B25"/>
    <mergeCell ref="B26:B28"/>
    <mergeCell ref="B29:B33"/>
    <mergeCell ref="B34:B36"/>
    <mergeCell ref="B37:B40"/>
    <mergeCell ref="C9:C12"/>
    <mergeCell ref="D9:G9"/>
    <mergeCell ref="E11:F11"/>
    <mergeCell ref="G11:G12"/>
  </mergeCells>
  <phoneticPr fontId="5" type="noConversion"/>
  <pageMargins left="1.3779527559055118" right="0.39370078740157483" top="0.39370078740157483" bottom="0.39370078740157483" header="0" footer="0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 pr.pajamos</vt:lpstr>
      <vt:lpstr>2 pr. deleg.</vt:lpstr>
      <vt:lpstr>3 pr.kitos spec. tiksl. dot.</vt:lpstr>
      <vt:lpstr>6 pr. savivaldybės</vt:lpstr>
      <vt:lpstr>7 pr. asignav. valdytojus</vt:lpstr>
      <vt:lpstr>9 pr. bendros išlaidos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Prienai</dc:creator>
  <cp:lastModifiedBy>User</cp:lastModifiedBy>
  <cp:lastPrinted>2018-04-27T07:07:11Z</cp:lastPrinted>
  <dcterms:created xsi:type="dcterms:W3CDTF">2011-02-01T07:14:51Z</dcterms:created>
  <dcterms:modified xsi:type="dcterms:W3CDTF">2018-04-27T07:07:17Z</dcterms:modified>
</cp:coreProperties>
</file>