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7515" windowHeight="5130" firstSheet="3" activeTab="7"/>
  </bookViews>
  <sheets>
    <sheet name="1 pr.pajamos" sheetId="22" r:id="rId1"/>
    <sheet name="2 pr. deleg." sheetId="29" r:id="rId2"/>
    <sheet name="3 pr.kitos spec. tiksl. dot." sheetId="20" r:id="rId3"/>
    <sheet name="4 pr. mok. lėš." sheetId="30" r:id="rId4"/>
    <sheet name="6 pr. savivaldybės" sheetId="17" r:id="rId5"/>
    <sheet name="7 pr. eurp.sąj." sheetId="31" r:id="rId6"/>
    <sheet name="8 pr. asignav. valdytojus" sheetId="6" r:id="rId7"/>
    <sheet name="9 pr. bendros išlaidos" sheetId="15" r:id="rId8"/>
  </sheets>
  <calcPr calcId="125725"/>
</workbook>
</file>

<file path=xl/calcChain.xml><?xml version="1.0" encoding="utf-8"?>
<calcChain xmlns="http://schemas.openxmlformats.org/spreadsheetml/2006/main">
  <c r="D33" i="15"/>
  <c r="D18"/>
  <c r="E91" i="17"/>
  <c r="E22"/>
  <c r="C47" i="6"/>
  <c r="C20"/>
  <c r="C28" i="22"/>
  <c r="F27" i="15"/>
  <c r="D27"/>
  <c r="D20"/>
  <c r="C27" i="6"/>
  <c r="C22"/>
  <c r="C50"/>
  <c r="E50"/>
  <c r="E41" i="29"/>
  <c r="F37"/>
  <c r="E37"/>
  <c r="E43"/>
  <c r="E29"/>
  <c r="E24"/>
  <c r="D38" i="15"/>
  <c r="D40"/>
  <c r="D30"/>
  <c r="C39" i="6"/>
  <c r="E85" i="17"/>
  <c r="E68"/>
  <c r="E97"/>
  <c r="E103"/>
  <c r="E75"/>
  <c r="G30" i="15"/>
  <c r="C41" i="6"/>
  <c r="C40"/>
  <c r="E70" i="17"/>
  <c r="E69"/>
  <c r="D25" i="15"/>
  <c r="E67" i="17"/>
  <c r="G46" i="15"/>
  <c r="F46"/>
  <c r="D46"/>
  <c r="G44"/>
  <c r="D44"/>
  <c r="G40"/>
  <c r="F30"/>
  <c r="G18"/>
  <c r="F19"/>
  <c r="D19"/>
  <c r="G45"/>
  <c r="D45"/>
  <c r="F21"/>
  <c r="D21"/>
  <c r="F42" i="6"/>
  <c r="C49"/>
  <c r="C48"/>
  <c r="D48"/>
  <c r="C44"/>
  <c r="E43"/>
  <c r="C43"/>
  <c r="E42"/>
  <c r="C42"/>
  <c r="D42"/>
  <c r="E41"/>
  <c r="E40"/>
  <c r="C38"/>
  <c r="C36"/>
  <c r="C34"/>
  <c r="F31"/>
  <c r="C31"/>
  <c r="C30"/>
  <c r="C29"/>
  <c r="C26"/>
  <c r="C24"/>
  <c r="F22"/>
  <c r="C23"/>
  <c r="C21"/>
  <c r="C19"/>
  <c r="C18"/>
  <c r="C17"/>
  <c r="D17"/>
  <c r="H21" i="31"/>
  <c r="G21"/>
  <c r="E21"/>
  <c r="E105" i="17"/>
  <c r="F105"/>
  <c r="F103"/>
  <c r="H24"/>
  <c r="G69"/>
  <c r="G65"/>
  <c r="G112"/>
  <c r="H33"/>
  <c r="E48"/>
  <c r="E49"/>
  <c r="E46"/>
  <c r="E47"/>
  <c r="H111"/>
  <c r="E111"/>
  <c r="E63"/>
  <c r="F63"/>
  <c r="E62"/>
  <c r="F62"/>
  <c r="H105"/>
  <c r="H103"/>
  <c r="E106"/>
  <c r="E82"/>
  <c r="E98"/>
  <c r="E54"/>
  <c r="E57"/>
  <c r="E59"/>
  <c r="E55"/>
  <c r="E58"/>
  <c r="E61"/>
  <c r="E77"/>
  <c r="G72"/>
  <c r="E72"/>
  <c r="G71"/>
  <c r="E71"/>
  <c r="G70"/>
  <c r="E38"/>
  <c r="E36"/>
  <c r="E33"/>
  <c r="E32"/>
  <c r="E31"/>
  <c r="E30"/>
  <c r="E29"/>
  <c r="E28"/>
  <c r="E26"/>
  <c r="E25"/>
  <c r="E24"/>
  <c r="E23"/>
  <c r="E21"/>
  <c r="E20"/>
  <c r="E19"/>
  <c r="H32" i="20"/>
  <c r="E32"/>
  <c r="C50" i="22"/>
  <c r="C44"/>
  <c r="C31"/>
  <c r="C30"/>
  <c r="C29"/>
  <c r="E31" i="6"/>
  <c r="E30"/>
  <c r="E29"/>
  <c r="E28"/>
  <c r="C28"/>
  <c r="E27"/>
  <c r="E26"/>
  <c r="E25"/>
  <c r="C25"/>
  <c r="D25"/>
  <c r="E24"/>
  <c r="E23"/>
  <c r="E22"/>
  <c r="E21"/>
  <c r="E20"/>
  <c r="E19"/>
  <c r="E18"/>
  <c r="E17"/>
  <c r="E52"/>
  <c r="G17" i="30"/>
  <c r="G41"/>
  <c r="E17"/>
  <c r="E41"/>
  <c r="E34" i="6"/>
  <c r="E33"/>
  <c r="E32"/>
  <c r="C33"/>
  <c r="C32"/>
  <c r="G21" i="20"/>
  <c r="G20"/>
  <c r="G19"/>
  <c r="E21"/>
  <c r="E20"/>
  <c r="E19"/>
  <c r="E31" i="30"/>
  <c r="E24"/>
  <c r="E39"/>
  <c r="E38"/>
  <c r="G31"/>
  <c r="G30"/>
  <c r="E30"/>
  <c r="G29"/>
  <c r="E29"/>
  <c r="E28"/>
  <c r="G28"/>
  <c r="G27"/>
  <c r="E27"/>
  <c r="G26"/>
  <c r="E26"/>
  <c r="G25"/>
  <c r="E25"/>
  <c r="G24"/>
  <c r="G23"/>
  <c r="E23"/>
  <c r="G22"/>
  <c r="E22"/>
  <c r="G21"/>
  <c r="E21"/>
  <c r="G20"/>
  <c r="E20"/>
  <c r="E19"/>
  <c r="G19"/>
  <c r="G18"/>
  <c r="E18"/>
  <c r="E16"/>
  <c r="E48" i="6"/>
  <c r="F35" i="29"/>
  <c r="E35"/>
  <c r="F34"/>
  <c r="E34"/>
  <c r="D31" i="15"/>
  <c r="F44"/>
  <c r="F33"/>
  <c r="F28"/>
  <c r="D28"/>
  <c r="D24"/>
  <c r="D22"/>
  <c r="F45"/>
  <c r="E46" i="6"/>
  <c r="C37"/>
  <c r="F24"/>
  <c r="G32" i="20"/>
  <c r="G111" i="17"/>
  <c r="E83"/>
  <c r="G92"/>
  <c r="H26"/>
  <c r="F26"/>
  <c r="H31" i="20"/>
  <c r="H33"/>
  <c r="C47" i="22"/>
  <c r="C40"/>
  <c r="C39"/>
  <c r="C41"/>
  <c r="E36" i="6"/>
  <c r="E28" i="29"/>
  <c r="E27"/>
  <c r="E26"/>
  <c r="E25"/>
  <c r="E23"/>
  <c r="E21"/>
  <c r="E20"/>
  <c r="C15" i="22"/>
  <c r="C18"/>
  <c r="C17"/>
  <c r="C23"/>
  <c r="C27"/>
  <c r="C34"/>
  <c r="C38"/>
  <c r="C42"/>
  <c r="C45"/>
  <c r="C49"/>
  <c r="G32" i="30"/>
  <c r="E32"/>
  <c r="E40"/>
  <c r="H102" i="17"/>
  <c r="E102"/>
  <c r="E60"/>
  <c r="E30" i="15"/>
  <c r="D37"/>
  <c r="G42"/>
  <c r="D42"/>
  <c r="F37" i="6"/>
  <c r="H30" i="20"/>
  <c r="E30"/>
  <c r="H107" i="17"/>
  <c r="E107"/>
  <c r="H104"/>
  <c r="E94"/>
  <c r="H66"/>
  <c r="E66"/>
  <c r="E74"/>
  <c r="F88"/>
  <c r="F29" i="6"/>
  <c r="H31" i="17"/>
  <c r="D43" i="15"/>
  <c r="E108" i="17"/>
  <c r="H106"/>
  <c r="F17" i="15"/>
  <c r="E42" i="17"/>
  <c r="G108"/>
  <c r="H108"/>
  <c r="F109"/>
  <c r="F110"/>
  <c r="H72"/>
  <c r="E27"/>
  <c r="E34"/>
  <c r="E95"/>
  <c r="E41"/>
  <c r="F19"/>
  <c r="G29" i="20"/>
  <c r="G28"/>
  <c r="H29"/>
  <c r="H28"/>
  <c r="E29"/>
  <c r="E28"/>
  <c r="F30"/>
  <c r="F29"/>
  <c r="F28"/>
  <c r="E40" i="29"/>
  <c r="E30"/>
  <c r="G26"/>
  <c r="E22"/>
  <c r="E19"/>
  <c r="F21" i="6"/>
  <c r="H23" i="17"/>
  <c r="E45" i="15"/>
  <c r="D23"/>
  <c r="D17"/>
  <c r="F43"/>
  <c r="G43"/>
  <c r="E46"/>
  <c r="E34"/>
  <c r="E18" i="31"/>
  <c r="F18"/>
  <c r="F17"/>
  <c r="G17"/>
  <c r="H17"/>
  <c r="E17"/>
  <c r="H20"/>
  <c r="H22"/>
  <c r="G20"/>
  <c r="G22"/>
  <c r="E20"/>
  <c r="E22"/>
  <c r="F19" i="20"/>
  <c r="F20"/>
  <c r="F21"/>
  <c r="F18"/>
  <c r="G17"/>
  <c r="G33"/>
  <c r="H17"/>
  <c r="E17"/>
  <c r="G31"/>
  <c r="E31"/>
  <c r="G26"/>
  <c r="G25"/>
  <c r="H26"/>
  <c r="H25"/>
  <c r="E26"/>
  <c r="E25"/>
  <c r="F27"/>
  <c r="F26"/>
  <c r="F25"/>
  <c r="F32"/>
  <c r="F31"/>
  <c r="F33"/>
  <c r="E96" i="17"/>
  <c r="F68"/>
  <c r="E22" i="20"/>
  <c r="G22"/>
  <c r="H22"/>
  <c r="F23"/>
  <c r="F24"/>
  <c r="F22"/>
  <c r="G25" i="15"/>
  <c r="F50" i="6"/>
  <c r="E89" i="17"/>
  <c r="H48"/>
  <c r="G38" i="30"/>
  <c r="H38"/>
  <c r="H16"/>
  <c r="F39"/>
  <c r="F41" i="17"/>
  <c r="F42"/>
  <c r="F43"/>
  <c r="F44"/>
  <c r="F40"/>
  <c r="H100"/>
  <c r="H99"/>
  <c r="E33" i="15"/>
  <c r="D31" i="6"/>
  <c r="H81" i="17"/>
  <c r="H80"/>
  <c r="E39"/>
  <c r="H18"/>
  <c r="F40" i="29"/>
  <c r="G28"/>
  <c r="F64" i="17"/>
  <c r="F20" i="30"/>
  <c r="G18" i="17"/>
  <c r="G22" i="29"/>
  <c r="E36"/>
  <c r="G17" i="15"/>
  <c r="E19"/>
  <c r="E20"/>
  <c r="E21"/>
  <c r="E22"/>
  <c r="E23"/>
  <c r="F24"/>
  <c r="G24"/>
  <c r="E25"/>
  <c r="E26"/>
  <c r="E27"/>
  <c r="E28"/>
  <c r="F29"/>
  <c r="G29"/>
  <c r="E31"/>
  <c r="E29"/>
  <c r="D32"/>
  <c r="F32"/>
  <c r="G32"/>
  <c r="E35"/>
  <c r="E36"/>
  <c r="F37"/>
  <c r="G37"/>
  <c r="E38"/>
  <c r="E37"/>
  <c r="D39"/>
  <c r="F39"/>
  <c r="G39"/>
  <c r="G47"/>
  <c r="E40"/>
  <c r="E41"/>
  <c r="E42"/>
  <c r="E39"/>
  <c r="D18" i="6"/>
  <c r="D19"/>
  <c r="D20"/>
  <c r="D21"/>
  <c r="D22"/>
  <c r="D23"/>
  <c r="D26"/>
  <c r="D28"/>
  <c r="D29"/>
  <c r="D30"/>
  <c r="D32"/>
  <c r="D33"/>
  <c r="D34"/>
  <c r="D35"/>
  <c r="D36"/>
  <c r="D38"/>
  <c r="D39"/>
  <c r="D40"/>
  <c r="D41"/>
  <c r="D43"/>
  <c r="D44"/>
  <c r="D45"/>
  <c r="D46"/>
  <c r="D47"/>
  <c r="D49"/>
  <c r="D50"/>
  <c r="F20" i="17"/>
  <c r="F21"/>
  <c r="F22"/>
  <c r="F23"/>
  <c r="F24"/>
  <c r="F25"/>
  <c r="F27"/>
  <c r="F28"/>
  <c r="F29"/>
  <c r="F30"/>
  <c r="F31"/>
  <c r="F32"/>
  <c r="F33"/>
  <c r="F34"/>
  <c r="F35"/>
  <c r="F36"/>
  <c r="F37"/>
  <c r="F38"/>
  <c r="F46"/>
  <c r="F47"/>
  <c r="F48"/>
  <c r="F49"/>
  <c r="G50"/>
  <c r="G45"/>
  <c r="H50"/>
  <c r="H45"/>
  <c r="F51"/>
  <c r="F52"/>
  <c r="F53"/>
  <c r="F54"/>
  <c r="F55"/>
  <c r="F56"/>
  <c r="F57"/>
  <c r="F58"/>
  <c r="F59"/>
  <c r="F60"/>
  <c r="F66"/>
  <c r="F67"/>
  <c r="F69"/>
  <c r="F70"/>
  <c r="F71"/>
  <c r="F72"/>
  <c r="E73"/>
  <c r="E65"/>
  <c r="G73"/>
  <c r="H73"/>
  <c r="H65"/>
  <c r="F74"/>
  <c r="F75"/>
  <c r="F76"/>
  <c r="F77"/>
  <c r="F78"/>
  <c r="F79"/>
  <c r="E81"/>
  <c r="E80"/>
  <c r="G81"/>
  <c r="G80"/>
  <c r="F82"/>
  <c r="F84"/>
  <c r="F85"/>
  <c r="F81"/>
  <c r="F86"/>
  <c r="F87"/>
  <c r="F89"/>
  <c r="F90"/>
  <c r="F91"/>
  <c r="F80"/>
  <c r="F112"/>
  <c r="F92"/>
  <c r="G93"/>
  <c r="G94"/>
  <c r="H94"/>
  <c r="H93"/>
  <c r="F95"/>
  <c r="F96"/>
  <c r="F98"/>
  <c r="E100"/>
  <c r="E99"/>
  <c r="G100"/>
  <c r="G99"/>
  <c r="F101"/>
  <c r="F104"/>
  <c r="F106"/>
  <c r="F107"/>
  <c r="F17" i="30"/>
  <c r="F18"/>
  <c r="F19"/>
  <c r="F21"/>
  <c r="F22"/>
  <c r="F23"/>
  <c r="F24"/>
  <c r="F25"/>
  <c r="F26"/>
  <c r="F27"/>
  <c r="F28"/>
  <c r="F29"/>
  <c r="F30"/>
  <c r="F31"/>
  <c r="F32"/>
  <c r="F33"/>
  <c r="F34"/>
  <c r="F35"/>
  <c r="F37"/>
  <c r="F40"/>
  <c r="F38"/>
  <c r="H41"/>
  <c r="H18" i="29"/>
  <c r="G19"/>
  <c r="G20"/>
  <c r="G21"/>
  <c r="G23"/>
  <c r="G24"/>
  <c r="G18"/>
  <c r="G71"/>
  <c r="G25"/>
  <c r="G27"/>
  <c r="G29"/>
  <c r="G30"/>
  <c r="G31"/>
  <c r="E33"/>
  <c r="F33"/>
  <c r="G33"/>
  <c r="H33"/>
  <c r="F36"/>
  <c r="F32"/>
  <c r="F71"/>
  <c r="G36"/>
  <c r="H36"/>
  <c r="E38"/>
  <c r="F38"/>
  <c r="G38"/>
  <c r="H38"/>
  <c r="G40"/>
  <c r="H40"/>
  <c r="G47"/>
  <c r="G46"/>
  <c r="H47"/>
  <c r="H46"/>
  <c r="E47"/>
  <c r="E46"/>
  <c r="F47"/>
  <c r="F46"/>
  <c r="G63"/>
  <c r="H63"/>
  <c r="E69"/>
  <c r="E63"/>
  <c r="F69"/>
  <c r="F63"/>
  <c r="F102" i="17"/>
  <c r="F61"/>
  <c r="F83"/>
  <c r="E44" i="15"/>
  <c r="E50" i="17"/>
  <c r="E45"/>
  <c r="F73"/>
  <c r="F39"/>
  <c r="E32" i="15"/>
  <c r="H32" i="29"/>
  <c r="G32"/>
  <c r="E24" i="15"/>
  <c r="F21" i="31"/>
  <c r="H71" i="29"/>
  <c r="D27" i="6"/>
  <c r="E18" i="17"/>
  <c r="E112"/>
  <c r="E18" i="29"/>
  <c r="D29" i="15"/>
  <c r="E18"/>
  <c r="F20" i="31"/>
  <c r="F22"/>
  <c r="F111" i="17"/>
  <c r="F108"/>
  <c r="D37" i="6"/>
  <c r="E33" i="20"/>
  <c r="E93" i="17"/>
  <c r="F94"/>
  <c r="F93"/>
  <c r="F97"/>
  <c r="C14" i="22"/>
  <c r="C32"/>
  <c r="E43" i="15"/>
  <c r="F47"/>
  <c r="F52" i="6"/>
  <c r="D24"/>
  <c r="E32" i="29"/>
  <c r="E71"/>
  <c r="G16" i="30"/>
  <c r="F16"/>
  <c r="F41"/>
  <c r="F17" i="20"/>
  <c r="E17" i="15"/>
  <c r="E47"/>
  <c r="C52" i="6"/>
  <c r="F100" i="17"/>
  <c r="F99"/>
  <c r="H112"/>
  <c r="F50"/>
  <c r="F45"/>
  <c r="F65"/>
  <c r="F18"/>
  <c r="C48" i="22"/>
  <c r="D52" i="6"/>
  <c r="D47" i="15"/>
</calcChain>
</file>

<file path=xl/sharedStrings.xml><?xml version="1.0" encoding="utf-8"?>
<sst xmlns="http://schemas.openxmlformats.org/spreadsheetml/2006/main" count="1049" uniqueCount="419">
  <si>
    <t>Eil.Nr.</t>
  </si>
  <si>
    <t>Programos Nr.</t>
  </si>
  <si>
    <t>Funkcinis kodas</t>
  </si>
  <si>
    <t>Iš viso</t>
  </si>
  <si>
    <t>Iš jų:</t>
  </si>
  <si>
    <t>2</t>
  </si>
  <si>
    <t>4</t>
  </si>
  <si>
    <t>Prienų rajono savivaldybės tarybos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</si>
  <si>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</si>
  <si>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</si>
  <si>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</si>
  <si>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</si>
  <si>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</si>
  <si>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</si>
  <si>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</si>
  <si>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</si>
  <si>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</si>
  <si>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Prienų rajono savivaldybės socialinių paslaugų centras</t>
  </si>
  <si>
    <t>Prienų rajono savivaldybės administracija</t>
  </si>
  <si>
    <t>04</t>
  </si>
  <si>
    <t>Savivaldybės pagrindinių funkcijų vykdymo ir valdymo tobulinimo programa</t>
  </si>
  <si>
    <t>Prienų rajono priešgaisrinė tarnyba</t>
  </si>
  <si>
    <t>05</t>
  </si>
  <si>
    <t>02.01</t>
  </si>
  <si>
    <t>02.02</t>
  </si>
  <si>
    <t>02.03</t>
  </si>
  <si>
    <t>04.01</t>
  </si>
  <si>
    <t>04.02</t>
  </si>
  <si>
    <t>05.01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</si>
  <si>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</si>
  <si>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</si>
  <si>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</si>
  <si>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</si>
  <si>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</si>
  <si>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</si>
  <si>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</si>
  <si>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</si>
  <si>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</si>
  <si>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</si>
  <si>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</si>
  <si>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</si>
  <si>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</si>
  <si>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</si>
  <si>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</si>
  <si>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</si>
  <si>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</si>
  <si>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</si>
  <si>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</si>
  <si>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</si>
  <si>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______________________</t>
  </si>
  <si>
    <t>Programa / Asignavimų valdytojas</t>
  </si>
  <si>
    <t>ilgalaikiam turtui</t>
  </si>
  <si>
    <t>01.21</t>
  </si>
  <si>
    <t>Prienų meno mokykla</t>
  </si>
  <si>
    <t>03</t>
  </si>
  <si>
    <t>Prienų krašto muziejus</t>
  </si>
  <si>
    <t>Jiezno kultūros ir laisvalaikio centras</t>
  </si>
  <si>
    <t>Veiverių kultūros ir laisvalaikio centras</t>
  </si>
  <si>
    <t>03.01</t>
  </si>
  <si>
    <t>03.02</t>
  </si>
  <si>
    <t>03.03</t>
  </si>
  <si>
    <t>03.04</t>
  </si>
  <si>
    <t>03.05</t>
  </si>
  <si>
    <t>03.06</t>
  </si>
  <si>
    <t>03.07</t>
  </si>
  <si>
    <t>Savivaldybės biudžeto asignavimai</t>
  </si>
  <si>
    <t>Prienų r. sav. kūno kultūros ir sporto centras</t>
  </si>
  <si>
    <t>04.03</t>
  </si>
  <si>
    <t>04.04</t>
  </si>
  <si>
    <t>Prienų rajono savivaldybės administracija:</t>
  </si>
  <si>
    <t xml:space="preserve">09 </t>
  </si>
  <si>
    <t>09</t>
  </si>
  <si>
    <t>10</t>
  </si>
  <si>
    <t>03.08</t>
  </si>
  <si>
    <t>Prienų kultūros ir laisvalaikio centras</t>
  </si>
  <si>
    <t>08</t>
  </si>
  <si>
    <t>06</t>
  </si>
  <si>
    <t>07</t>
  </si>
  <si>
    <t>Savivaldybės administracija</t>
  </si>
  <si>
    <t>Investicijų programa</t>
  </si>
  <si>
    <t>07.01</t>
  </si>
  <si>
    <t>06.01</t>
  </si>
  <si>
    <t>Prienų globos namai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</si>
  <si>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</si>
  <si>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</si>
  <si>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</si>
  <si>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</si>
  <si>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</si>
  <si>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</si>
  <si>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</si>
  <si>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</si>
  <si>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</si>
  <si>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</si>
  <si>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</si>
  <si>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</si>
  <si>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</si>
  <si>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</si>
  <si>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</si>
  <si>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</si>
  <si>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</si>
  <si>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</si>
  <si>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</si>
  <si>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</si>
  <si>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</si>
  <si>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</si>
  <si>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</si>
  <si>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</si>
  <si>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</si>
  <si>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</si>
  <si>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</si>
  <si>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</si>
  <si>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Savivaldybės administracija:</t>
  </si>
  <si>
    <t>Aplinkos apsaugos, verslo rėmimo ir kaimo plėtros programa</t>
  </si>
  <si>
    <t>Programa / Finansavimo šaltiniai</t>
  </si>
  <si>
    <t>Biudžeto lėšos</t>
  </si>
  <si>
    <t>Valstybinėms funkcijoms atlikti</t>
  </si>
  <si>
    <t>Biudžetinių įstaigų pajamos</t>
  </si>
  <si>
    <t>Asignavimų valdytojas</t>
  </si>
  <si>
    <t>Prienų r. sav. socialinių paslaugų centras</t>
  </si>
  <si>
    <t>Prienų lopšelis-darželis ,,Saulutė“</t>
  </si>
  <si>
    <t>jaunimo veiklos aktyvinimas</t>
  </si>
  <si>
    <t>kultūros paveldo objektų tvarkymas</t>
  </si>
  <si>
    <t>nekilnojamojo turto įteisinimas</t>
  </si>
  <si>
    <t>socialinio būsto atnaujinimas ir plėtra</t>
  </si>
  <si>
    <t>išlaidoms</t>
  </si>
  <si>
    <t>iš viso</t>
  </si>
  <si>
    <t>Asignavimai</t>
  </si>
  <si>
    <t>teritorijų planavimas</t>
  </si>
  <si>
    <t>smulkaus ir vidutinio verslo subjektų rėmimas</t>
  </si>
  <si>
    <t>viešosios tvarkos užtikrinimas ir prevencija</t>
  </si>
  <si>
    <t>mero fondas</t>
  </si>
  <si>
    <t>02.04</t>
  </si>
  <si>
    <t>Balbieriškio kultūros ir laisvalaikio centras</t>
  </si>
  <si>
    <t>Iš viso asignavimų</t>
  </si>
  <si>
    <t>8 priedas</t>
  </si>
  <si>
    <t>3 priedas</t>
  </si>
  <si>
    <t>9 priedas</t>
  </si>
  <si>
    <t>7 priedas</t>
  </si>
  <si>
    <t>I.</t>
  </si>
  <si>
    <t>MOKESČIAI:</t>
  </si>
  <si>
    <t>Pajamų ir pelno mokesčiai iš viso:</t>
  </si>
  <si>
    <t>1.1.</t>
  </si>
  <si>
    <t>gyventojų pajamų mokestis (gautas iš VMI)</t>
  </si>
  <si>
    <t>1.2.</t>
  </si>
  <si>
    <t>1.3.</t>
  </si>
  <si>
    <t>2.1.</t>
  </si>
  <si>
    <t>žemės mokestis, iš jų:</t>
  </si>
  <si>
    <t>2.2.</t>
  </si>
  <si>
    <t>fizinių asmenų</t>
  </si>
  <si>
    <t>2.3.</t>
  </si>
  <si>
    <t>juridinių asmenų</t>
  </si>
  <si>
    <t>paveldimo turto mokestis</t>
  </si>
  <si>
    <t>nekilnojamojo turto mokestis</t>
  </si>
  <si>
    <t>Prekių ir paslaugų mokesčiai:</t>
  </si>
  <si>
    <t>3.1.</t>
  </si>
  <si>
    <t>mokestis už aplinkos teršimą</t>
  </si>
  <si>
    <t>3.2.</t>
  </si>
  <si>
    <t>valstybės rinkliavos</t>
  </si>
  <si>
    <t>3.3.</t>
  </si>
  <si>
    <t>vietinės rinkliavos</t>
  </si>
  <si>
    <t>II.</t>
  </si>
  <si>
    <t>valstybinėms (perduotoms savivaldybėms) funkcijoms atlikti</t>
  </si>
  <si>
    <t>kita tikslinė dotacija</t>
  </si>
  <si>
    <t>III.</t>
  </si>
  <si>
    <t>KITOS PAJAMOS:</t>
  </si>
  <si>
    <t>nuomos mokestis už valstybinę žemę ir valstybinius vidaus vandenų telkinius</t>
  </si>
  <si>
    <t>mokesčiai už valstybinius gamtos išteklius</t>
  </si>
  <si>
    <t>mokestis už medžiojamųjų gyvūnų išteklius</t>
  </si>
  <si>
    <t>Pajamos už prekes ir paslaugas:</t>
  </si>
  <si>
    <t>įmokos už išlaikymą švietimo, socialinės apsaugos ir kitose įstaigose</t>
  </si>
  <si>
    <t>Pajamos iš baudų ir konfiskacijos:</t>
  </si>
  <si>
    <t>pajamos iš baudų ir konfiskacijos</t>
  </si>
  <si>
    <t>Kitos neišvardintos pajamos</t>
  </si>
  <si>
    <t>Ilgalaikio materialiojo turto realizavimo pajamos:</t>
  </si>
  <si>
    <t>žemės ir žemės gelmių išteklių realizavimo pajamos</t>
  </si>
  <si>
    <t>kito ilgalaikio materialiojo turto realizavimo pajamos</t>
  </si>
  <si>
    <t>IV.</t>
  </si>
  <si>
    <t>IŠ VISO PAJAMŲ</t>
  </si>
  <si>
    <t>___________________________</t>
  </si>
  <si>
    <t>Pajamų pavadinimas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</si>
  <si>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</si>
  <si>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</si>
  <si>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</si>
  <si>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</si>
  <si>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</si>
  <si>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</si>
  <si>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</si>
  <si>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</si>
  <si>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</si>
  <si>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</si>
  <si>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</si>
  <si>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</si>
  <si>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</si>
  <si>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</si>
  <si>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</si>
  <si>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</si>
  <si>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</si>
  <si>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</si>
  <si>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</si>
  <si>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</si>
  <si>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</si>
  <si>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</si>
  <si>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</si>
  <si>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</si>
  <si>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</si>
  <si>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</si>
  <si>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</si>
  <si>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</si>
  <si>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</si>
  <si>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</si>
  <si>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</si>
  <si>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</si>
  <si>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</si>
  <si>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</si>
  <si>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</si>
  <si>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</si>
  <si>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</si>
  <si>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</si>
  <si>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</si>
  <si>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</si>
  <si>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</si>
  <si>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</si>
  <si>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</si>
  <si>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</si>
  <si>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</si>
  <si>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</si>
  <si>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</si>
  <si>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</si>
  <si>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77.</t>
  </si>
  <si>
    <t>2.1.1.</t>
  </si>
  <si>
    <t>2.1.2.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</si>
  <si>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</si>
  <si>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</si>
  <si>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</si>
  <si>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</si>
  <si>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</si>
  <si>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r>
      <t>Turto mokesčiai</t>
    </r>
    <r>
      <rPr>
        <sz val="10"/>
        <rFont val="Times New Roman"/>
        <family val="1"/>
        <charset val="186"/>
      </rPr>
      <t>:</t>
    </r>
  </si>
  <si>
    <t>Prienų r. sav. priešgaisrinė tarnyba</t>
  </si>
  <si>
    <t>Prienų Justino Marcinkevičiaus viešoji biblioteka</t>
  </si>
  <si>
    <t xml:space="preserve"> </t>
  </si>
  <si>
    <t>76.</t>
  </si>
  <si>
    <t>78.</t>
  </si>
  <si>
    <t>Prienų r. Veiverių Antano Kučingio meno mokykla</t>
  </si>
  <si>
    <t>Prienų r. Jiezno gimnazija</t>
  </si>
  <si>
    <t>Prienų r. Veiverių Tomo Žilinsko gimnazija</t>
  </si>
  <si>
    <t>Prienų r. Naujosios Ūtos pagrindinė mokykla</t>
  </si>
  <si>
    <t>Prienų r. Pakuonio pagrindinė mokykla</t>
  </si>
  <si>
    <t>Prienų r. Skriaudžių pagrindinė mokykla</t>
  </si>
  <si>
    <t>Prienų r. Jiezno muzikos mokykla</t>
  </si>
  <si>
    <t xml:space="preserve">Prienų r. Jiezno muzikos mokykla </t>
  </si>
  <si>
    <t>79.</t>
  </si>
  <si>
    <t>80.</t>
  </si>
  <si>
    <t>81.</t>
  </si>
  <si>
    <t>Prienų r. Balbieriškio pagrindinė mokykla</t>
  </si>
  <si>
    <t>savivaldos institucija (taryba)</t>
  </si>
  <si>
    <t>V.</t>
  </si>
  <si>
    <t>Prienų r. Stakliškių gimnazija</t>
  </si>
  <si>
    <t>Prienų ,,Ąžuolo“ progimnazija</t>
  </si>
  <si>
    <t>Prienų ,,Revuonos “ pagrindinė mokykla</t>
  </si>
  <si>
    <t>Prienų r. Šilavoto pagrindinė mokykla</t>
  </si>
  <si>
    <t>(eurais)</t>
  </si>
  <si>
    <t>Kultūros, sporto, jaunimo ir bendruomenių veiklos aktyvinimo programa</t>
  </si>
  <si>
    <t>socialinės pašalpos</t>
  </si>
  <si>
    <t>vadybinės ir pedagoginės veiklos kokybės tobulinimas</t>
  </si>
  <si>
    <t>vaikų socializacija</t>
  </si>
  <si>
    <t>studijų rėmimas</t>
  </si>
  <si>
    <t>suteiktų priėmimo-skubios pagalbos paslaugų dalinis finansavimas</t>
  </si>
  <si>
    <t>visuomenės sveikatos rėmimas (protezavimas)</t>
  </si>
  <si>
    <t>socialinis rėmimas</t>
  </si>
  <si>
    <t>socialinis rėmimas (paštas)</t>
  </si>
  <si>
    <t>vaikų išlaikymas globos įstaigose</t>
  </si>
  <si>
    <t xml:space="preserve">kompensacijų mokėjimas </t>
  </si>
  <si>
    <t>lengvatinis neįgaliųjų vežimas</t>
  </si>
  <si>
    <t>įvaizdžio kūrimas ir valdymas</t>
  </si>
  <si>
    <t>kūno kultūros ir sporto populiarinimas, sporto ir jaunimo organizacijų, asociacijų, religinių bendruomenių ir bendrijų rėmimas</t>
  </si>
  <si>
    <t>rajono kultūros plėtra</t>
  </si>
  <si>
    <t>turizmo veiklos skatinimas</t>
  </si>
  <si>
    <t>regioninės plėtros veiklų įgyvendinimas</t>
  </si>
  <si>
    <t>nuostolių dengimas</t>
  </si>
  <si>
    <t>aplinkos apsaugos specialusis rėmimas</t>
  </si>
  <si>
    <t>komunalinių atliekų surinkimas ir tvarkymas</t>
  </si>
  <si>
    <t>82.</t>
  </si>
  <si>
    <t>83.</t>
  </si>
  <si>
    <t>84.</t>
  </si>
  <si>
    <t>85.</t>
  </si>
  <si>
    <t>86.</t>
  </si>
  <si>
    <t>87.</t>
  </si>
  <si>
    <t>daugiabučių namų modernizavimas</t>
  </si>
  <si>
    <t>89.</t>
  </si>
  <si>
    <t>komunalinio ūkio objektų priežiūra ir plėtra</t>
  </si>
  <si>
    <t>90.</t>
  </si>
  <si>
    <t>gabių mokinių skatinimas</t>
  </si>
  <si>
    <t>Kitos tikslinės dotacijos</t>
  </si>
  <si>
    <t>Europos Sąjungos finansinė parama</t>
  </si>
  <si>
    <t>Kita tikslinė dotacija</t>
  </si>
  <si>
    <t xml:space="preserve">Pajamos </t>
  </si>
  <si>
    <t>1 priedas</t>
  </si>
  <si>
    <t>Palūkanos už depozitus</t>
  </si>
  <si>
    <t>4.1.</t>
  </si>
  <si>
    <t>6.1.</t>
  </si>
  <si>
    <t>6.2.</t>
  </si>
  <si>
    <t>suaugusių asmenų išlaikymas globos įstaigose</t>
  </si>
  <si>
    <t>neįgaliųjų draugijos autobuso išlaikymas</t>
  </si>
  <si>
    <t>direktoriaus rezervas</t>
  </si>
  <si>
    <t>IR VALSTYBĖS KAPITALO INVESTICIJOS</t>
  </si>
  <si>
    <t>Nuomos pajamos:</t>
  </si>
  <si>
    <t>________________________</t>
  </si>
  <si>
    <t>2 priedas</t>
  </si>
  <si>
    <t>Valstybinėms (perduotoms savivaldybėms) funkcijoms</t>
  </si>
  <si>
    <t>maitinimui</t>
  </si>
  <si>
    <t>10.4.1.40.</t>
  </si>
  <si>
    <t>Socialinių paslaugų asmenims su negalia plėtra</t>
  </si>
  <si>
    <t>10.01.02.02.</t>
  </si>
  <si>
    <t>Darbas su rizikos šeimomis</t>
  </si>
  <si>
    <t>10.04.01.01.</t>
  </si>
  <si>
    <t>Prienų rajono visuomenės sveikatos biuras</t>
  </si>
  <si>
    <t>Visuomenės sveikatos stiprinimas</t>
  </si>
  <si>
    <t>Parama mirties atveju</t>
  </si>
  <si>
    <t>10.03.01.01.</t>
  </si>
  <si>
    <t>Socialinė parama mokiniams</t>
  </si>
  <si>
    <t>10.04.01.40.</t>
  </si>
  <si>
    <t>Neveiksnių asmenų būklės peržiūrėjimui užtikrinti</t>
  </si>
  <si>
    <t>07.06.01.02.</t>
  </si>
  <si>
    <t>Archyvinių dokumentų tvarkymas</t>
  </si>
  <si>
    <t>01.03.03.02.</t>
  </si>
  <si>
    <t>Civilinės būklės aktų registravimas</t>
  </si>
  <si>
    <t>01.06.01.02.</t>
  </si>
  <si>
    <t>Civilinės saugos organizavimas</t>
  </si>
  <si>
    <t>02.02.01.01.</t>
  </si>
  <si>
    <t>Valstybinės kalbos vartojimo ir taisyklingumo kontrolė</t>
  </si>
  <si>
    <t>Mobilizacijos administravimas</t>
  </si>
  <si>
    <t>02.01.01.04.</t>
  </si>
  <si>
    <t>10.09.01.01.</t>
  </si>
  <si>
    <t>Jaunimo teisių apsauga</t>
  </si>
  <si>
    <t>Pirminė teisinė pagalba</t>
  </si>
  <si>
    <t>Duomenų teikimas Valstybės suteiktos pagalbos registrui</t>
  </si>
  <si>
    <t>Gyventojų registro tvarkymas ir duomenų valstybės registrui teikimas</t>
  </si>
  <si>
    <t>Gyvenamosios vietos deklaravimas</t>
  </si>
  <si>
    <t xml:space="preserve">Valstybinės žemės ir kito valstybinio turto valdymas, naudojimas ir disponavimas patikėjimo teise </t>
  </si>
  <si>
    <t>Žemės ūkio funkcijoms vykdyti</t>
  </si>
  <si>
    <t>04.02.01.04.</t>
  </si>
  <si>
    <t>Melioracijai ir dirvoms kalkinti</t>
  </si>
  <si>
    <t>04.02.01.01.</t>
  </si>
  <si>
    <t>03.02.01.01.</t>
  </si>
  <si>
    <t>10.05.01.01.</t>
  </si>
  <si>
    <t>06.02</t>
  </si>
  <si>
    <t>06.03</t>
  </si>
  <si>
    <t>Darbo rinkos politikos rengimas ir įgyvendinimas</t>
  </si>
  <si>
    <t>4 priedas</t>
  </si>
  <si>
    <t xml:space="preserve">Prienų „Žiburio“ gimnazija </t>
  </si>
  <si>
    <t>Prienų r. Veiverių Tomo  Žilinsko gimnazija</t>
  </si>
  <si>
    <t>Prienų „Ąžuolo“ progimnazija</t>
  </si>
  <si>
    <t>Prienų „Revuonos“ pagrindinė mokykla</t>
  </si>
  <si>
    <t>Prienų r. Naujosios Ūtos  pagrindinė mokykla</t>
  </si>
  <si>
    <t>Prienų r. Pakuonio pagrindinė  mokykla</t>
  </si>
  <si>
    <t>Prienų r. Skriaudžių pagrindinė  mokykla</t>
  </si>
  <si>
    <t>Prienų r. Šilavoto pagrindinė  mokykla</t>
  </si>
  <si>
    <t>Prienų lopšelis-darželis „Gintarėlis“</t>
  </si>
  <si>
    <t>Prienų lopšelis-darželis „Pasaka“</t>
  </si>
  <si>
    <t>Prienų lopšelis-darželis „Saulutė“</t>
  </si>
  <si>
    <t>_____________________________</t>
  </si>
  <si>
    <t>6 priedas</t>
  </si>
  <si>
    <t>SPECIALIOJI TIKSLINĖ DOTACIJA, IŠ JOS:</t>
  </si>
  <si>
    <t>Prienų švietimo pagalbos tarnyba</t>
  </si>
  <si>
    <t>07.04.01.02.</t>
  </si>
  <si>
    <t>biudžetinių įstaigų pajamos už prekes ir paslaugas</t>
  </si>
  <si>
    <t>06.04</t>
  </si>
  <si>
    <t>01.20.</t>
  </si>
  <si>
    <t>vaikų globėjų išlaidos</t>
  </si>
  <si>
    <t>savivaldybės pastatų remontas, priežiūra ir plėtra</t>
  </si>
  <si>
    <t>kaimo plėtros rėmimas</t>
  </si>
  <si>
    <t>VI.</t>
  </si>
  <si>
    <t>10.07.01.01.</t>
  </si>
  <si>
    <t>Būsto nuomos mokesčio daliai kompensuoti</t>
  </si>
  <si>
    <t>91.</t>
  </si>
  <si>
    <t>88.</t>
  </si>
  <si>
    <t>Prienų r. Jiezno paramos šeimai centras</t>
  </si>
  <si>
    <t>2019 m. vasario 14 d.</t>
  </si>
  <si>
    <t>PRIENŲ RAJONO SAVIVALDYBĖS 2019 METŲ EUROPOS SĄJUNGOS FINANSINĖ PARAMA</t>
  </si>
  <si>
    <t>PRIENŲ RAJONO SAVIVALDYBĖS 2019 METŲ BIUDŽETO PAJAMŲ PLANAS</t>
  </si>
  <si>
    <t xml:space="preserve">PRIENŲ RAJONO SAVIVALDYBĖS 2019 METŲ KITA TIKSLINĖ DOTACIJA                                                                                                                                    </t>
  </si>
  <si>
    <t>PRIENŲ RAJONO SAVIVALDYBĖS 2019 METŲ BIUDŽETO IŠLAIDOS SAVARANKIŠKOSIOMS FUNKCIJOMS VYKDYTI PAGAL ASIGNAVIMŲ VALDYTOJUS</t>
  </si>
  <si>
    <t xml:space="preserve">PRIENŲ RAJONO SAVIVALDYBĖS 2019 METŲ BIUDŽETO IŠLAIDOS                                                                                        PAGAL ASIGNAVIMŲ VALDYTOJUS </t>
  </si>
  <si>
    <t>Erdvinių duomenų rinkinio tvarkymo funkcijai atlikti</t>
  </si>
  <si>
    <t>04.02.01.02.</t>
  </si>
  <si>
    <t>06.05</t>
  </si>
  <si>
    <t>06.06</t>
  </si>
  <si>
    <t xml:space="preserve"> neįgaliųjų būsto pritaikymas</t>
  </si>
  <si>
    <t>kelių programos savivaldybės biudžeto lėšos</t>
  </si>
  <si>
    <t>slaugos ligoninėse esančių gyventojų išlaikymas</t>
  </si>
  <si>
    <t>mokymo lėšos</t>
  </si>
  <si>
    <t>EUROPOS SĄJUNGOS FONDŲ LĖŠOS</t>
  </si>
  <si>
    <t>Mokymo lėšos</t>
  </si>
  <si>
    <t>Praėjusių metų nepanaudota pajamų dalis</t>
  </si>
  <si>
    <t xml:space="preserve">PRIENŲ RAJONO SAVIVALDYBĖS 2019 METŲ BIUDŽETO LĖŠOS VALSTYBINĖMS                                                                (PERDUOTOMS SAVIVALDYBEI) FUNKCIJOMS ATLIKTI </t>
  </si>
  <si>
    <t>PRIENŲ RAJONO SAVIVALDYBĖS 2019 METŲ MOKYMO LĖŠOS</t>
  </si>
  <si>
    <t>brandos egzaminai</t>
  </si>
  <si>
    <t>perskirstomos ugdymo lėšos (savivaldybės dalis pagal ML metodiką)</t>
  </si>
  <si>
    <t>mokinių mokymas plaukti</t>
  </si>
  <si>
    <t>pajamos už ilgalaikio ir trumpalaikio materialiojo turto nuomą</t>
  </si>
  <si>
    <t>(PERDUOTOMS SAVIVALDYBĖMS) FUNKCIJOMS ATLIKTI</t>
  </si>
  <si>
    <t>VII.</t>
  </si>
  <si>
    <t>Paskolos</t>
  </si>
  <si>
    <t>sprendimo Nr. T3-24</t>
  </si>
  <si>
    <t>(Prienų rajono savivaldybės  tarybos</t>
  </si>
  <si>
    <t xml:space="preserve">PRIENŲ RAJONO SAVIVALDYBĖS 2019 METŲ BIUDŽETO IŠLAIDOS                                                                                                                PAGAL  PROGRAMAS IR FINANSAVIMO ŠALTINIUS </t>
  </si>
  <si>
    <t>sprendimo Nr.T3-24</t>
  </si>
  <si>
    <t>vietinės reikšmės kelių (gatvių) rekonstravimas, plėtra ir priežiūra</t>
  </si>
  <si>
    <t>tarpinstitucinio koordinatoriaus pareigybei išlaikyti</t>
  </si>
  <si>
    <t>92.</t>
  </si>
  <si>
    <t>93.</t>
  </si>
  <si>
    <t>07.02</t>
  </si>
  <si>
    <t>07.03</t>
  </si>
  <si>
    <t>94.</t>
  </si>
  <si>
    <t>erdvinių duomenų rinkinio tvarkymas</t>
  </si>
  <si>
    <t>2019 m. spalio 31 d.</t>
  </si>
  <si>
    <t>Jiezno PSPC veiklai vykdyti</t>
  </si>
  <si>
    <t>95.</t>
  </si>
  <si>
    <t>sprendimo Nr. T3-271 redakcija)</t>
  </si>
</sst>
</file>

<file path=xl/styles.xml><?xml version="1.0" encoding="utf-8"?>
<styleSheet xmlns="http://schemas.openxmlformats.org/spreadsheetml/2006/main">
  <numFmts count="2">
    <numFmt numFmtId="170" formatCode="_-* #,##0.00\ &quot;Lt&quot;_-;\-* #,##0.00\ &quot;Lt&quot;_-;_-* &quot;-&quot;??\ &quot;Lt&quot;_-;_-@_-"/>
    <numFmt numFmtId="175" formatCode="0.0"/>
  </numFmts>
  <fonts count="8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281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5" fontId="2" fillId="0" borderId="4" xfId="0" applyNumberFormat="1" applyFont="1" applyFill="1" applyBorder="1" applyAlignment="1">
      <alignment wrapText="1"/>
    </xf>
    <xf numFmtId="175" fontId="2" fillId="0" borderId="1" xfId="0" applyNumberFormat="1" applyFont="1" applyFill="1" applyBorder="1" applyAlignment="1">
      <alignment horizontal="right"/>
    </xf>
    <xf numFmtId="175" fontId="2" fillId="0" borderId="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/>
    </xf>
    <xf numFmtId="175" fontId="3" fillId="0" borderId="4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 vertical="top"/>
    </xf>
    <xf numFmtId="175" fontId="2" fillId="2" borderId="1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175" fontId="2" fillId="0" borderId="1" xfId="0" applyNumberFormat="1" applyFont="1" applyFill="1" applyBorder="1" applyAlignment="1">
      <alignment horizontal="right" vertical="top"/>
    </xf>
    <xf numFmtId="1" fontId="3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175" fontId="3" fillId="0" borderId="2" xfId="0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horizontal="center" vertical="top"/>
    </xf>
    <xf numFmtId="175" fontId="2" fillId="0" borderId="5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right"/>
    </xf>
    <xf numFmtId="175" fontId="4" fillId="0" borderId="4" xfId="0" applyNumberFormat="1" applyFont="1" applyFill="1" applyBorder="1" applyAlignment="1">
      <alignment wrapText="1"/>
    </xf>
    <xf numFmtId="175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right" vertical="top"/>
    </xf>
    <xf numFmtId="49" fontId="4" fillId="0" borderId="3" xfId="0" applyNumberFormat="1" applyFont="1" applyFill="1" applyBorder="1" applyAlignment="1">
      <alignment horizontal="center"/>
    </xf>
    <xf numFmtId="175" fontId="2" fillId="0" borderId="4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75" fontId="4" fillId="2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 wrapText="1"/>
    </xf>
    <xf numFmtId="175" fontId="3" fillId="0" borderId="6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right" vertical="top"/>
    </xf>
    <xf numFmtId="175" fontId="4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 wrapText="1"/>
    </xf>
    <xf numFmtId="0" fontId="6" fillId="0" borderId="0" xfId="0" applyFont="1"/>
    <xf numFmtId="175" fontId="4" fillId="0" borderId="2" xfId="0" applyNumberFormat="1" applyFont="1" applyFill="1" applyBorder="1" applyAlignment="1">
      <alignment wrapText="1"/>
    </xf>
    <xf numFmtId="0" fontId="7" fillId="0" borderId="0" xfId="0" applyFont="1"/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center" wrapText="1"/>
    </xf>
    <xf numFmtId="1" fontId="3" fillId="0" borderId="2" xfId="0" applyNumberFormat="1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top" wrapText="1"/>
    </xf>
    <xf numFmtId="1" fontId="4" fillId="0" borderId="6" xfId="0" applyNumberFormat="1" applyFont="1" applyFill="1" applyBorder="1" applyAlignment="1">
      <alignment horizontal="right" vertical="top"/>
    </xf>
    <xf numFmtId="1" fontId="2" fillId="2" borderId="6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/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175" fontId="2" fillId="0" borderId="4" xfId="0" applyNumberFormat="1" applyFont="1" applyFill="1" applyBorder="1" applyAlignment="1">
      <alignment horizontal="left" wrapText="1"/>
    </xf>
    <xf numFmtId="170" fontId="0" fillId="0" borderId="0" xfId="1" applyFont="1"/>
    <xf numFmtId="0" fontId="4" fillId="0" borderId="0" xfId="0" applyFont="1" applyFill="1" applyAlignment="1">
      <alignment wrapText="1"/>
    </xf>
    <xf numFmtId="175" fontId="2" fillId="0" borderId="2" xfId="0" applyNumberFormat="1" applyFont="1" applyFill="1" applyBorder="1" applyAlignment="1">
      <alignment wrapText="1"/>
    </xf>
    <xf numFmtId="0" fontId="0" fillId="0" borderId="4" xfId="0" applyBorder="1"/>
    <xf numFmtId="0" fontId="2" fillId="0" borderId="0" xfId="0" applyFont="1" applyAlignment="1">
      <alignment horizontal="right"/>
    </xf>
    <xf numFmtId="1" fontId="2" fillId="0" borderId="6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/>
    </xf>
    <xf numFmtId="1" fontId="2" fillId="2" borderId="4" xfId="0" applyNumberFormat="1" applyFont="1" applyFill="1" applyBorder="1" applyAlignment="1"/>
    <xf numFmtId="1" fontId="2" fillId="2" borderId="2" xfId="0" applyNumberFormat="1" applyFont="1" applyFill="1" applyBorder="1" applyAlignment="1"/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2" xfId="0" applyNumberFormat="1" applyFont="1" applyFill="1" applyBorder="1" applyAlignment="1">
      <alignment horizontal="right" vertical="center" wrapText="1"/>
    </xf>
    <xf numFmtId="1" fontId="2" fillId="0" borderId="6" xfId="0" applyNumberFormat="1" applyFont="1" applyFill="1" applyBorder="1" applyAlignment="1">
      <alignment horizontal="right"/>
    </xf>
    <xf numFmtId="175" fontId="4" fillId="0" borderId="4" xfId="0" applyNumberFormat="1" applyFont="1" applyFill="1" applyBorder="1" applyAlignment="1">
      <alignment vertical="top" wrapText="1"/>
    </xf>
    <xf numFmtId="0" fontId="0" fillId="0" borderId="0" xfId="0" applyAlignment="1">
      <alignment horizontal="center"/>
    </xf>
    <xf numFmtId="49" fontId="2" fillId="0" borderId="1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2" xfId="0" applyBorder="1"/>
    <xf numFmtId="49" fontId="2" fillId="0" borderId="1" xfId="0" applyNumberFormat="1" applyFont="1" applyFill="1" applyBorder="1" applyAlignment="1">
      <alignment horizontal="right" vertical="top"/>
    </xf>
    <xf numFmtId="0" fontId="2" fillId="0" borderId="7" xfId="0" applyFont="1" applyFill="1" applyBorder="1" applyAlignment="1">
      <alignment vertical="top"/>
    </xf>
    <xf numFmtId="175" fontId="4" fillId="0" borderId="4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>
      <alignment vertical="top"/>
    </xf>
    <xf numFmtId="175" fontId="2" fillId="2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/>
    <xf numFmtId="0" fontId="4" fillId="2" borderId="7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175" fontId="2" fillId="0" borderId="4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/>
    </xf>
    <xf numFmtId="1" fontId="2" fillId="3" borderId="1" xfId="0" applyNumberFormat="1" applyFont="1" applyFill="1" applyBorder="1" applyAlignment="1">
      <alignment horizontal="right" vertical="top"/>
    </xf>
    <xf numFmtId="0" fontId="0" fillId="0" borderId="6" xfId="0" applyBorder="1" applyAlignment="1">
      <alignment vertical="top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right" vertical="top"/>
    </xf>
    <xf numFmtId="175" fontId="4" fillId="0" borderId="5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right" vertical="center"/>
    </xf>
    <xf numFmtId="1" fontId="4" fillId="3" borderId="2" xfId="0" applyNumberFormat="1" applyFont="1" applyFill="1" applyBorder="1" applyAlignment="1">
      <alignment horizontal="right" vertical="center"/>
    </xf>
    <xf numFmtId="175" fontId="4" fillId="0" borderId="2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175" fontId="4" fillId="0" borderId="1" xfId="0" applyNumberFormat="1" applyFont="1" applyFill="1" applyBorder="1" applyAlignment="1">
      <alignment horizontal="right" vertical="top"/>
    </xf>
    <xf numFmtId="175" fontId="4" fillId="3" borderId="1" xfId="0" applyNumberFormat="1" applyFont="1" applyFill="1" applyBorder="1" applyAlignment="1">
      <alignment horizontal="right"/>
    </xf>
    <xf numFmtId="0" fontId="4" fillId="0" borderId="2" xfId="0" applyFont="1" applyBorder="1"/>
    <xf numFmtId="49" fontId="2" fillId="0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4" xfId="0" applyFont="1" applyBorder="1" applyAlignment="1"/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1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1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/>
    <xf numFmtId="0" fontId="3" fillId="0" borderId="2" xfId="0" applyFont="1" applyBorder="1"/>
    <xf numFmtId="1" fontId="2" fillId="3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justify" wrapText="1"/>
    </xf>
    <xf numFmtId="0" fontId="4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2" fillId="0" borderId="4" xfId="0" applyFont="1" applyBorder="1" applyAlignment="1">
      <alignment horizontal="right"/>
    </xf>
    <xf numFmtId="49" fontId="3" fillId="3" borderId="1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2" fillId="0" borderId="0" xfId="0" applyFont="1" applyFill="1" applyAlignment="1">
      <alignment horizontal="left"/>
    </xf>
    <xf numFmtId="49" fontId="2" fillId="0" borderId="12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right" vertical="top" wrapText="1"/>
    </xf>
    <xf numFmtId="1" fontId="3" fillId="2" borderId="2" xfId="0" applyNumberFormat="1" applyFont="1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3" fillId="0" borderId="7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6" fillId="0" borderId="3" xfId="0" applyFont="1" applyBorder="1"/>
    <xf numFmtId="49" fontId="3" fillId="0" borderId="0" xfId="0" applyNumberFormat="1" applyFont="1" applyFill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3" fillId="0" borderId="9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0" fontId="2" fillId="0" borderId="0" xfId="0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4"/>
  <sheetViews>
    <sheetView zoomScale="135" zoomScaleNormal="135" workbookViewId="0">
      <selection activeCell="C7" sqref="C7"/>
    </sheetView>
  </sheetViews>
  <sheetFormatPr defaultRowHeight="12.75"/>
  <cols>
    <col min="1" max="1" width="7.7109375" customWidth="1"/>
    <col min="2" max="2" width="57.7109375" customWidth="1"/>
    <col min="3" max="3" width="28.7109375" customWidth="1"/>
    <col min="4" max="4" width="9.42578125" bestFit="1" customWidth="1"/>
  </cols>
  <sheetData>
    <row r="1" spans="1:6" ht="15" customHeight="1">
      <c r="A1" s="47"/>
      <c r="B1" s="47"/>
      <c r="C1" s="35" t="s">
        <v>7</v>
      </c>
      <c r="D1" s="35"/>
      <c r="E1" s="35"/>
      <c r="F1" s="35"/>
    </row>
    <row r="2" spans="1:6" ht="15" customHeight="1">
      <c r="A2" s="47"/>
      <c r="B2" s="47"/>
      <c r="C2" s="35" t="s">
        <v>377</v>
      </c>
      <c r="D2" s="35"/>
      <c r="E2" s="35"/>
      <c r="F2" s="35"/>
    </row>
    <row r="3" spans="1:6" ht="15" customHeight="1">
      <c r="A3" s="47"/>
      <c r="B3" s="47"/>
      <c r="C3" s="35" t="s">
        <v>403</v>
      </c>
      <c r="D3" s="35"/>
      <c r="E3" s="35"/>
      <c r="F3" s="35"/>
    </row>
    <row r="4" spans="1:6" ht="15" customHeight="1">
      <c r="A4" s="47"/>
      <c r="B4" s="47"/>
      <c r="C4" s="16" t="s">
        <v>296</v>
      </c>
      <c r="D4" s="16"/>
      <c r="E4" s="16"/>
      <c r="F4" s="16"/>
    </row>
    <row r="5" spans="1:6" ht="15" customHeight="1">
      <c r="A5" s="47"/>
      <c r="B5" s="47"/>
      <c r="C5" s="16" t="s">
        <v>404</v>
      </c>
      <c r="D5" s="16"/>
      <c r="E5" s="16"/>
      <c r="F5" s="16"/>
    </row>
    <row r="6" spans="1:6" ht="15" customHeight="1">
      <c r="A6" s="47"/>
      <c r="B6" s="47"/>
      <c r="C6" s="16" t="s">
        <v>415</v>
      </c>
      <c r="D6" s="16"/>
      <c r="E6" s="16"/>
      <c r="F6" s="16"/>
    </row>
    <row r="7" spans="1:6" ht="15" customHeight="1">
      <c r="A7" s="47"/>
      <c r="B7" s="47"/>
      <c r="C7" s="16" t="s">
        <v>418</v>
      </c>
      <c r="D7" s="16"/>
      <c r="E7" s="16"/>
      <c r="F7" s="16"/>
    </row>
    <row r="8" spans="1:6" ht="15" customHeight="1">
      <c r="A8" s="47"/>
      <c r="B8" s="47"/>
    </row>
    <row r="9" spans="1:6">
      <c r="A9" s="216" t="s">
        <v>379</v>
      </c>
      <c r="B9" s="216"/>
      <c r="C9" s="216"/>
    </row>
    <row r="10" spans="1:6" ht="15" customHeight="1">
      <c r="A10" s="47"/>
      <c r="B10" s="47"/>
      <c r="C10" s="124" t="s">
        <v>260</v>
      </c>
    </row>
    <row r="11" spans="1:6" ht="15" customHeight="1">
      <c r="A11" s="212" t="s">
        <v>83</v>
      </c>
      <c r="B11" s="212" t="s">
        <v>179</v>
      </c>
      <c r="C11" s="212" t="s">
        <v>295</v>
      </c>
    </row>
    <row r="12" spans="1:6" ht="7.5" customHeight="1">
      <c r="A12" s="213"/>
      <c r="B12" s="213"/>
      <c r="C12" s="213"/>
    </row>
    <row r="13" spans="1:6" ht="15" hidden="1" customHeight="1">
      <c r="A13" s="214"/>
      <c r="B13" s="214"/>
      <c r="C13" s="214"/>
    </row>
    <row r="14" spans="1:6" ht="15" customHeight="1">
      <c r="A14" s="112" t="s">
        <v>138</v>
      </c>
      <c r="B14" s="112" t="s">
        <v>139</v>
      </c>
      <c r="C14" s="112">
        <f>C15+C17+C23</f>
        <v>14720000</v>
      </c>
    </row>
    <row r="15" spans="1:6" ht="15" customHeight="1">
      <c r="A15" s="112" t="s">
        <v>84</v>
      </c>
      <c r="B15" s="112" t="s">
        <v>140</v>
      </c>
      <c r="C15" s="68">
        <f>SUM(C16:C16)</f>
        <v>13156000</v>
      </c>
    </row>
    <row r="16" spans="1:6" ht="15" customHeight="1">
      <c r="A16" s="68" t="s">
        <v>141</v>
      </c>
      <c r="B16" s="68" t="s">
        <v>142</v>
      </c>
      <c r="C16" s="68">
        <v>13156000</v>
      </c>
    </row>
    <row r="17" spans="1:3" ht="15" customHeight="1">
      <c r="A17" s="112" t="s">
        <v>85</v>
      </c>
      <c r="B17" s="112" t="s">
        <v>236</v>
      </c>
      <c r="C17" s="112">
        <f>SUM(C18+C21+C22)</f>
        <v>649000</v>
      </c>
    </row>
    <row r="18" spans="1:3" ht="15" customHeight="1">
      <c r="A18" s="68" t="s">
        <v>145</v>
      </c>
      <c r="B18" s="68" t="s">
        <v>146</v>
      </c>
      <c r="C18" s="68">
        <f>C20+C19</f>
        <v>310000</v>
      </c>
    </row>
    <row r="19" spans="1:3" ht="15" customHeight="1">
      <c r="A19" s="68" t="s">
        <v>229</v>
      </c>
      <c r="B19" s="198" t="s">
        <v>148</v>
      </c>
      <c r="C19" s="199">
        <v>290000</v>
      </c>
    </row>
    <row r="20" spans="1:3" ht="15" customHeight="1">
      <c r="A20" s="68" t="s">
        <v>230</v>
      </c>
      <c r="B20" s="198" t="s">
        <v>150</v>
      </c>
      <c r="C20" s="199">
        <v>20000</v>
      </c>
    </row>
    <row r="21" spans="1:3" ht="15" customHeight="1">
      <c r="A21" s="68" t="s">
        <v>147</v>
      </c>
      <c r="B21" s="68" t="s">
        <v>151</v>
      </c>
      <c r="C21" s="68">
        <v>9000</v>
      </c>
    </row>
    <row r="22" spans="1:3" ht="15" customHeight="1">
      <c r="A22" s="68" t="s">
        <v>149</v>
      </c>
      <c r="B22" s="68" t="s">
        <v>152</v>
      </c>
      <c r="C22" s="68">
        <v>330000</v>
      </c>
    </row>
    <row r="23" spans="1:3" ht="15" customHeight="1">
      <c r="A23" s="112" t="s">
        <v>86</v>
      </c>
      <c r="B23" s="112" t="s">
        <v>153</v>
      </c>
      <c r="C23" s="112">
        <f>C26+C25+C24</f>
        <v>915000</v>
      </c>
    </row>
    <row r="24" spans="1:3" ht="15" customHeight="1">
      <c r="A24" s="68" t="s">
        <v>154</v>
      </c>
      <c r="B24" s="68" t="s">
        <v>155</v>
      </c>
      <c r="C24" s="68">
        <v>30000</v>
      </c>
    </row>
    <row r="25" spans="1:3" ht="15" customHeight="1">
      <c r="A25" s="68" t="s">
        <v>156</v>
      </c>
      <c r="B25" s="68" t="s">
        <v>157</v>
      </c>
      <c r="C25" s="68">
        <v>35000</v>
      </c>
    </row>
    <row r="26" spans="1:3" ht="15" customHeight="1">
      <c r="A26" s="68" t="s">
        <v>158</v>
      </c>
      <c r="B26" s="68" t="s">
        <v>159</v>
      </c>
      <c r="C26" s="68">
        <v>850000</v>
      </c>
    </row>
    <row r="27" spans="1:3" ht="15" customHeight="1">
      <c r="A27" s="112" t="s">
        <v>160</v>
      </c>
      <c r="B27" s="112" t="s">
        <v>362</v>
      </c>
      <c r="C27" s="112">
        <f>C30+C29+C28</f>
        <v>12021200</v>
      </c>
    </row>
    <row r="28" spans="1:3" ht="15" customHeight="1">
      <c r="A28" s="68" t="s">
        <v>141</v>
      </c>
      <c r="B28" s="113" t="s">
        <v>161</v>
      </c>
      <c r="C28" s="68">
        <f>2294000-12200+80700+47200+27800+6000</f>
        <v>2443500</v>
      </c>
    </row>
    <row r="29" spans="1:3" ht="15" customHeight="1">
      <c r="A29" s="68" t="s">
        <v>143</v>
      </c>
      <c r="B29" s="113" t="s">
        <v>390</v>
      </c>
      <c r="C29" s="68">
        <f>5946600+156700</f>
        <v>6103300</v>
      </c>
    </row>
    <row r="30" spans="1:3" ht="15" customHeight="1">
      <c r="A30" s="68" t="s">
        <v>144</v>
      </c>
      <c r="B30" s="113" t="s">
        <v>162</v>
      </c>
      <c r="C30" s="68">
        <f>272900+315700+825000+1300400+65300+535500+148100+11500</f>
        <v>3474400</v>
      </c>
    </row>
    <row r="31" spans="1:3" ht="15" customHeight="1">
      <c r="A31" s="112" t="s">
        <v>163</v>
      </c>
      <c r="B31" s="114" t="s">
        <v>391</v>
      </c>
      <c r="C31" s="112">
        <f>92600+288600+10500+963500+778100+426000+479600</f>
        <v>3038900</v>
      </c>
    </row>
    <row r="32" spans="1:3" ht="15" customHeight="1">
      <c r="A32" s="112" t="s">
        <v>176</v>
      </c>
      <c r="B32" s="114" t="s">
        <v>164</v>
      </c>
      <c r="C32" s="112">
        <f>C45+C44+C42+C38+C34+C33</f>
        <v>2040800</v>
      </c>
    </row>
    <row r="33" spans="1:3" ht="15" customHeight="1">
      <c r="A33" s="67" t="s">
        <v>84</v>
      </c>
      <c r="B33" s="114" t="s">
        <v>297</v>
      </c>
      <c r="C33" s="112">
        <v>1000</v>
      </c>
    </row>
    <row r="34" spans="1:3" ht="15" customHeight="1">
      <c r="A34" s="67" t="s">
        <v>85</v>
      </c>
      <c r="B34" s="114" t="s">
        <v>305</v>
      </c>
      <c r="C34" s="112">
        <f>C37+C36+C35</f>
        <v>204000</v>
      </c>
    </row>
    <row r="35" spans="1:3" ht="30" customHeight="1">
      <c r="A35" s="68" t="s">
        <v>145</v>
      </c>
      <c r="B35" s="113" t="s">
        <v>165</v>
      </c>
      <c r="C35" s="68">
        <v>120000</v>
      </c>
    </row>
    <row r="36" spans="1:3" ht="15" customHeight="1">
      <c r="A36" s="68" t="s">
        <v>147</v>
      </c>
      <c r="B36" s="113" t="s">
        <v>166</v>
      </c>
      <c r="C36" s="68">
        <v>70000</v>
      </c>
    </row>
    <row r="37" spans="1:3" ht="15" customHeight="1">
      <c r="A37" s="68" t="s">
        <v>149</v>
      </c>
      <c r="B37" s="113" t="s">
        <v>167</v>
      </c>
      <c r="C37" s="68">
        <v>14000</v>
      </c>
    </row>
    <row r="38" spans="1:3" ht="15" customHeight="1">
      <c r="A38" s="112" t="s">
        <v>86</v>
      </c>
      <c r="B38" s="114" t="s">
        <v>168</v>
      </c>
      <c r="C38" s="112">
        <f>C41+C40+C39</f>
        <v>1480500</v>
      </c>
    </row>
    <row r="39" spans="1:3" ht="15" customHeight="1">
      <c r="A39" s="68" t="s">
        <v>154</v>
      </c>
      <c r="B39" s="68" t="s">
        <v>365</v>
      </c>
      <c r="C39" s="68">
        <f>106900-1000+13200</f>
        <v>119100</v>
      </c>
    </row>
    <row r="40" spans="1:3" ht="15" customHeight="1">
      <c r="A40" s="68" t="s">
        <v>156</v>
      </c>
      <c r="B40" s="68" t="s">
        <v>399</v>
      </c>
      <c r="C40" s="68">
        <f>72800+1000+200</f>
        <v>74000</v>
      </c>
    </row>
    <row r="41" spans="1:3" ht="15.75" customHeight="1">
      <c r="A41" s="68" t="s">
        <v>158</v>
      </c>
      <c r="B41" s="68" t="s">
        <v>169</v>
      </c>
      <c r="C41" s="68">
        <f>1270300+6100+11000</f>
        <v>1287400</v>
      </c>
    </row>
    <row r="42" spans="1:3" ht="15" customHeight="1">
      <c r="A42" s="112" t="s">
        <v>87</v>
      </c>
      <c r="B42" s="112" t="s">
        <v>170</v>
      </c>
      <c r="C42" s="112">
        <f>C43</f>
        <v>32000</v>
      </c>
    </row>
    <row r="43" spans="1:3" ht="15" customHeight="1">
      <c r="A43" s="68" t="s">
        <v>298</v>
      </c>
      <c r="B43" s="68" t="s">
        <v>171</v>
      </c>
      <c r="C43" s="68">
        <v>32000</v>
      </c>
    </row>
    <row r="44" spans="1:3" ht="15" customHeight="1">
      <c r="A44" s="112" t="s">
        <v>88</v>
      </c>
      <c r="B44" s="112" t="s">
        <v>172</v>
      </c>
      <c r="C44" s="112">
        <f>33000+137300</f>
        <v>170300</v>
      </c>
    </row>
    <row r="45" spans="1:3" ht="15" customHeight="1">
      <c r="A45" s="112" t="s">
        <v>89</v>
      </c>
      <c r="B45" s="112" t="s">
        <v>173</v>
      </c>
      <c r="C45" s="112">
        <f>C47+C46</f>
        <v>153000</v>
      </c>
    </row>
    <row r="46" spans="1:3" ht="15" customHeight="1">
      <c r="A46" s="68" t="s">
        <v>299</v>
      </c>
      <c r="B46" s="68" t="s">
        <v>174</v>
      </c>
      <c r="C46" s="68">
        <v>10000</v>
      </c>
    </row>
    <row r="47" spans="1:3" ht="15" customHeight="1">
      <c r="A47" s="68" t="s">
        <v>300</v>
      </c>
      <c r="B47" s="68" t="s">
        <v>175</v>
      </c>
      <c r="C47" s="68">
        <f>43000+100000</f>
        <v>143000</v>
      </c>
    </row>
    <row r="48" spans="1:3" ht="15" customHeight="1">
      <c r="A48" s="112" t="s">
        <v>255</v>
      </c>
      <c r="B48" s="112" t="s">
        <v>177</v>
      </c>
      <c r="C48" s="112">
        <f>C32+C31+C27+C14</f>
        <v>31820900</v>
      </c>
    </row>
    <row r="49" spans="1:4" ht="15" customHeight="1">
      <c r="A49" s="112" t="s">
        <v>371</v>
      </c>
      <c r="B49" s="112" t="s">
        <v>393</v>
      </c>
      <c r="C49" s="112">
        <f>499400+372400</f>
        <v>871800</v>
      </c>
    </row>
    <row r="50" spans="1:4" ht="15" customHeight="1">
      <c r="A50" s="112" t="s">
        <v>401</v>
      </c>
      <c r="B50" s="112" t="s">
        <v>402</v>
      </c>
      <c r="C50" s="112">
        <f>57400+89900+86100+20800+6700</f>
        <v>260900</v>
      </c>
    </row>
    <row r="51" spans="1:4">
      <c r="A51" s="215" t="s">
        <v>178</v>
      </c>
      <c r="B51" s="215"/>
      <c r="C51" s="215"/>
      <c r="D51" s="47"/>
    </row>
    <row r="52" spans="1:4">
      <c r="A52" s="47"/>
      <c r="B52" s="47"/>
    </row>
    <row r="53" spans="1:4">
      <c r="A53" s="47"/>
      <c r="B53" s="47"/>
    </row>
    <row r="54" spans="1:4">
      <c r="A54" s="47"/>
      <c r="B54" s="47"/>
    </row>
    <row r="55" spans="1:4">
      <c r="A55" s="47"/>
      <c r="B55" s="47"/>
    </row>
    <row r="56" spans="1:4">
      <c r="A56" s="47"/>
      <c r="B56" s="47"/>
    </row>
    <row r="57" spans="1:4">
      <c r="A57" s="47"/>
      <c r="B57" s="47"/>
    </row>
    <row r="58" spans="1:4">
      <c r="A58" s="47"/>
      <c r="B58" s="47"/>
    </row>
    <row r="59" spans="1:4">
      <c r="A59" s="47"/>
      <c r="B59" s="47"/>
    </row>
    <row r="60" spans="1:4">
      <c r="A60" s="47"/>
      <c r="B60" s="47"/>
    </row>
    <row r="61" spans="1:4">
      <c r="A61" s="47"/>
      <c r="B61" s="47"/>
    </row>
    <row r="62" spans="1:4">
      <c r="A62" s="47"/>
      <c r="B62" s="47"/>
    </row>
    <row r="63" spans="1:4">
      <c r="A63" s="47"/>
      <c r="B63" s="47"/>
    </row>
    <row r="64" spans="1:4">
      <c r="A64" s="47"/>
      <c r="B64" s="47"/>
    </row>
    <row r="65" spans="1:2">
      <c r="A65" s="47"/>
      <c r="B65" s="47"/>
    </row>
    <row r="66" spans="1:2">
      <c r="A66" s="47"/>
      <c r="B66" s="47"/>
    </row>
    <row r="67" spans="1:2">
      <c r="A67" s="47"/>
      <c r="B67" s="47"/>
    </row>
    <row r="68" spans="1:2">
      <c r="A68" s="47"/>
      <c r="B68" s="47"/>
    </row>
    <row r="69" spans="1:2">
      <c r="A69" s="47"/>
      <c r="B69" s="47"/>
    </row>
    <row r="70" spans="1:2">
      <c r="A70" s="47"/>
      <c r="B70" s="47"/>
    </row>
    <row r="71" spans="1:2">
      <c r="A71" s="47"/>
      <c r="B71" s="47"/>
    </row>
    <row r="72" spans="1:2">
      <c r="A72" s="47"/>
      <c r="B72" s="47"/>
    </row>
    <row r="73" spans="1:2">
      <c r="A73" s="47"/>
      <c r="B73" s="47"/>
    </row>
    <row r="74" spans="1:2">
      <c r="A74" s="47"/>
      <c r="B74" s="47"/>
    </row>
    <row r="75" spans="1:2">
      <c r="A75" s="47"/>
      <c r="B75" s="47"/>
    </row>
    <row r="76" spans="1:2">
      <c r="A76" s="47"/>
      <c r="B76" s="47"/>
    </row>
    <row r="77" spans="1:2">
      <c r="A77" s="47"/>
      <c r="B77" s="47"/>
    </row>
    <row r="78" spans="1:2">
      <c r="A78" s="47"/>
      <c r="B78" s="47"/>
    </row>
    <row r="79" spans="1:2">
      <c r="A79" s="47"/>
      <c r="B79" s="47"/>
    </row>
    <row r="80" spans="1:2">
      <c r="A80" s="47"/>
      <c r="B80" s="47"/>
    </row>
    <row r="81" spans="1:2">
      <c r="A81" s="47"/>
      <c r="B81" s="47"/>
    </row>
    <row r="82" spans="1:2">
      <c r="A82" s="47"/>
      <c r="B82" s="47"/>
    </row>
    <row r="83" spans="1:2">
      <c r="A83" s="47"/>
      <c r="B83" s="47"/>
    </row>
    <row r="84" spans="1:2">
      <c r="A84" s="47"/>
      <c r="B84" s="47"/>
    </row>
    <row r="85" spans="1:2">
      <c r="A85" s="47"/>
      <c r="B85" s="47"/>
    </row>
    <row r="86" spans="1:2">
      <c r="A86" s="47"/>
      <c r="B86" s="47"/>
    </row>
    <row r="87" spans="1:2">
      <c r="A87" s="47"/>
      <c r="B87" s="47"/>
    </row>
    <row r="88" spans="1:2">
      <c r="A88" s="47"/>
      <c r="B88" s="47"/>
    </row>
    <row r="89" spans="1:2">
      <c r="A89" s="47"/>
      <c r="B89" s="47"/>
    </row>
    <row r="90" spans="1:2">
      <c r="A90" s="47"/>
      <c r="B90" s="47"/>
    </row>
    <row r="91" spans="1:2">
      <c r="A91" s="47"/>
      <c r="B91" s="47"/>
    </row>
    <row r="92" spans="1:2">
      <c r="A92" s="47"/>
      <c r="B92" s="47"/>
    </row>
    <row r="93" spans="1:2">
      <c r="A93" s="47"/>
      <c r="B93" s="47"/>
    </row>
    <row r="94" spans="1:2">
      <c r="A94" s="47"/>
      <c r="B94" s="47"/>
    </row>
    <row r="95" spans="1:2">
      <c r="A95" s="47"/>
      <c r="B95" s="47"/>
    </row>
    <row r="96" spans="1:2">
      <c r="A96" s="47"/>
      <c r="B96" s="47"/>
    </row>
    <row r="97" spans="1:2">
      <c r="A97" s="47"/>
      <c r="B97" s="47"/>
    </row>
    <row r="98" spans="1:2">
      <c r="A98" s="47"/>
      <c r="B98" s="47"/>
    </row>
    <row r="99" spans="1:2">
      <c r="A99" s="47"/>
      <c r="B99" s="47"/>
    </row>
    <row r="100" spans="1:2">
      <c r="A100" s="47"/>
      <c r="B100" s="47"/>
    </row>
    <row r="101" spans="1:2">
      <c r="A101" s="47"/>
      <c r="B101" s="47"/>
    </row>
    <row r="102" spans="1:2">
      <c r="A102" s="47"/>
      <c r="B102" s="47"/>
    </row>
    <row r="103" spans="1:2">
      <c r="A103" s="47"/>
      <c r="B103" s="47"/>
    </row>
    <row r="104" spans="1:2">
      <c r="A104" s="47"/>
      <c r="B104" s="47"/>
    </row>
    <row r="105" spans="1:2">
      <c r="A105" s="47"/>
      <c r="B105" s="47"/>
    </row>
    <row r="106" spans="1:2">
      <c r="A106" s="47"/>
      <c r="B106" s="47"/>
    </row>
    <row r="107" spans="1:2">
      <c r="A107" s="47"/>
      <c r="B107" s="47"/>
    </row>
    <row r="108" spans="1:2">
      <c r="A108" s="47"/>
      <c r="B108" s="47"/>
    </row>
    <row r="109" spans="1:2">
      <c r="A109" s="47"/>
      <c r="B109" s="47"/>
    </row>
    <row r="110" spans="1:2">
      <c r="A110" s="47"/>
      <c r="B110" s="47"/>
    </row>
    <row r="111" spans="1:2">
      <c r="A111" s="47"/>
      <c r="B111" s="47"/>
    </row>
    <row r="112" spans="1:2">
      <c r="A112" s="47"/>
      <c r="B112" s="47"/>
    </row>
    <row r="113" spans="1:2">
      <c r="A113" s="47"/>
      <c r="B113" s="47"/>
    </row>
    <row r="114" spans="1:2">
      <c r="A114" s="47"/>
      <c r="B114" s="47"/>
    </row>
  </sheetData>
  <mergeCells count="5">
    <mergeCell ref="C11:C13"/>
    <mergeCell ref="B11:B13"/>
    <mergeCell ref="A11:A13"/>
    <mergeCell ref="A51:C51"/>
    <mergeCell ref="A9:C9"/>
  </mergeCells>
  <phoneticPr fontId="5" type="noConversion"/>
  <pageMargins left="0.98425196850393704" right="0.19685039370078741" top="0.59055118110236227" bottom="0.1968503937007874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2"/>
  <sheetViews>
    <sheetView zoomScale="135" zoomScaleNormal="135" workbookViewId="0">
      <selection activeCell="E7" sqref="E7:G7"/>
    </sheetView>
  </sheetViews>
  <sheetFormatPr defaultRowHeight="12.75"/>
  <cols>
    <col min="1" max="1" width="3.85546875" customWidth="1"/>
    <col min="2" max="2" width="9.85546875" customWidth="1"/>
    <col min="3" max="3" width="34.5703125" customWidth="1"/>
    <col min="4" max="4" width="10.42578125" customWidth="1"/>
    <col min="5" max="5" width="8.140625" customWidth="1"/>
    <col min="6" max="6" width="10.85546875" customWidth="1"/>
    <col min="7" max="7" width="9.7109375" customWidth="1"/>
    <col min="8" max="8" width="9.85546875" customWidth="1"/>
  </cols>
  <sheetData>
    <row r="1" spans="1:9" ht="14.1" customHeight="1">
      <c r="A1" s="3"/>
      <c r="B1" s="3"/>
      <c r="C1" s="3"/>
      <c r="D1" s="35"/>
      <c r="E1" s="223" t="s">
        <v>7</v>
      </c>
      <c r="F1" s="223"/>
      <c r="G1" s="223"/>
      <c r="H1" s="223"/>
    </row>
    <row r="2" spans="1:9" ht="14.1" customHeight="1">
      <c r="A2" s="3"/>
      <c r="B2" s="3"/>
      <c r="C2" s="3"/>
      <c r="D2" s="34"/>
      <c r="E2" s="223" t="s">
        <v>377</v>
      </c>
      <c r="F2" s="223"/>
      <c r="G2" s="223"/>
      <c r="H2" s="223"/>
    </row>
    <row r="3" spans="1:9" ht="14.1" customHeight="1">
      <c r="A3" s="3"/>
      <c r="B3" s="3"/>
      <c r="C3" s="3"/>
      <c r="D3" s="34"/>
      <c r="E3" s="223" t="s">
        <v>403</v>
      </c>
      <c r="F3" s="223"/>
      <c r="G3" s="223"/>
      <c r="H3" s="223"/>
    </row>
    <row r="4" spans="1:9" ht="14.1" customHeight="1">
      <c r="A4" s="1"/>
      <c r="B4" s="2"/>
      <c r="C4" s="3"/>
      <c r="D4" s="35"/>
      <c r="E4" s="224" t="s">
        <v>307</v>
      </c>
      <c r="F4" s="224"/>
      <c r="G4" s="224"/>
      <c r="H4" s="224"/>
    </row>
    <row r="5" spans="1:9" ht="14.1" customHeight="1">
      <c r="A5" s="1"/>
      <c r="B5" s="2"/>
      <c r="C5" s="3"/>
      <c r="D5" s="35"/>
      <c r="E5" s="16" t="s">
        <v>404</v>
      </c>
      <c r="F5" s="16"/>
      <c r="G5" s="16"/>
      <c r="H5" s="16"/>
    </row>
    <row r="6" spans="1:9" ht="14.1" customHeight="1">
      <c r="A6" s="1"/>
      <c r="B6" s="2"/>
      <c r="C6" s="3"/>
      <c r="D6" s="35"/>
      <c r="E6" s="224" t="s">
        <v>415</v>
      </c>
      <c r="F6" s="224"/>
      <c r="G6" s="224"/>
      <c r="H6" s="16"/>
    </row>
    <row r="7" spans="1:9" ht="14.1" customHeight="1">
      <c r="A7" s="1"/>
      <c r="B7" s="2"/>
      <c r="C7" s="3"/>
      <c r="D7" s="35"/>
      <c r="E7" s="280" t="s">
        <v>418</v>
      </c>
      <c r="F7" s="280"/>
      <c r="G7" s="280"/>
      <c r="H7" s="16"/>
    </row>
    <row r="8" spans="1:9" ht="14.1" customHeight="1">
      <c r="A8" s="1"/>
      <c r="B8" s="2"/>
      <c r="C8" s="16"/>
      <c r="D8" s="16"/>
      <c r="E8" s="137"/>
      <c r="F8" s="137"/>
      <c r="G8" s="137"/>
      <c r="H8" s="137"/>
    </row>
    <row r="9" spans="1:9" ht="14.1" customHeight="1">
      <c r="A9" s="232" t="s">
        <v>394</v>
      </c>
      <c r="B9" s="232"/>
      <c r="C9" s="232"/>
      <c r="D9" s="232"/>
      <c r="E9" s="232"/>
      <c r="F9" s="232"/>
      <c r="G9" s="232"/>
      <c r="H9" s="232"/>
    </row>
    <row r="10" spans="1:9" ht="14.1" customHeight="1">
      <c r="A10" s="232" t="s">
        <v>400</v>
      </c>
      <c r="B10" s="232"/>
      <c r="C10" s="232"/>
      <c r="D10" s="232"/>
      <c r="E10" s="232"/>
      <c r="F10" s="232"/>
      <c r="G10" s="232"/>
      <c r="H10" s="232"/>
    </row>
    <row r="11" spans="1:9" ht="15" customHeight="1">
      <c r="A11" s="48"/>
      <c r="B11" s="48"/>
      <c r="C11" s="48"/>
      <c r="D11" s="48"/>
      <c r="E11" s="48"/>
      <c r="F11" s="48"/>
      <c r="G11" s="48"/>
    </row>
    <row r="12" spans="1:9" ht="12.75" customHeight="1">
      <c r="A12" s="33"/>
      <c r="B12" s="33"/>
      <c r="C12" s="33"/>
      <c r="D12" s="33"/>
      <c r="E12" s="33"/>
      <c r="F12" s="33"/>
      <c r="G12" s="33"/>
      <c r="H12" s="124" t="s">
        <v>260</v>
      </c>
    </row>
    <row r="13" spans="1:9" ht="12.75" customHeight="1">
      <c r="A13" s="225" t="s">
        <v>0</v>
      </c>
      <c r="B13" s="228" t="s">
        <v>1</v>
      </c>
      <c r="C13" s="225" t="s">
        <v>50</v>
      </c>
      <c r="D13" s="220" t="s">
        <v>2</v>
      </c>
      <c r="E13" s="233" t="s">
        <v>308</v>
      </c>
      <c r="F13" s="234"/>
      <c r="G13" s="234"/>
      <c r="H13" s="235"/>
      <c r="I13" s="33"/>
    </row>
    <row r="14" spans="1:9" ht="12.75" customHeight="1">
      <c r="A14" s="226"/>
      <c r="B14" s="229"/>
      <c r="C14" s="226"/>
      <c r="D14" s="221"/>
      <c r="E14" s="226" t="s">
        <v>3</v>
      </c>
      <c r="F14" s="236" t="s">
        <v>4</v>
      </c>
      <c r="G14" s="237"/>
      <c r="H14" s="225" t="s">
        <v>51</v>
      </c>
    </row>
    <row r="15" spans="1:9" ht="12.75" customHeight="1">
      <c r="A15" s="226"/>
      <c r="B15" s="229"/>
      <c r="C15" s="226"/>
      <c r="D15" s="221"/>
      <c r="E15" s="226"/>
      <c r="F15" s="225" t="s">
        <v>8</v>
      </c>
      <c r="G15" s="225" t="s">
        <v>309</v>
      </c>
      <c r="H15" s="226"/>
    </row>
    <row r="16" spans="1:9" ht="12.75" customHeight="1">
      <c r="A16" s="227"/>
      <c r="B16" s="230"/>
      <c r="C16" s="227"/>
      <c r="D16" s="222"/>
      <c r="E16" s="227"/>
      <c r="F16" s="231"/>
      <c r="G16" s="231"/>
      <c r="H16" s="227"/>
    </row>
    <row r="17" spans="1:11" ht="12" customHeight="1">
      <c r="A17" s="202">
        <v>1</v>
      </c>
      <c r="B17" s="6" t="s">
        <v>5</v>
      </c>
      <c r="C17" s="4">
        <v>3</v>
      </c>
      <c r="D17" s="6" t="s">
        <v>6</v>
      </c>
      <c r="E17" s="4">
        <v>5</v>
      </c>
      <c r="F17" s="4">
        <v>6</v>
      </c>
      <c r="G17" s="4">
        <v>7</v>
      </c>
      <c r="H17" s="4">
        <v>8</v>
      </c>
    </row>
    <row r="18" spans="1:11" ht="25.5" customHeight="1">
      <c r="A18" s="37" t="s">
        <v>84</v>
      </c>
      <c r="B18" s="87" t="s">
        <v>10</v>
      </c>
      <c r="C18" s="17" t="s">
        <v>11</v>
      </c>
      <c r="D18" s="42"/>
      <c r="E18" s="82">
        <f>SUM(E19:E31)</f>
        <v>206500</v>
      </c>
      <c r="F18" s="82"/>
      <c r="G18" s="82">
        <f>SUM(G19:G31)</f>
        <v>206500</v>
      </c>
      <c r="H18" s="82">
        <f>SUM(H19:H31)</f>
        <v>0</v>
      </c>
      <c r="K18" s="135"/>
    </row>
    <row r="19" spans="1:11" ht="12.75" customHeight="1">
      <c r="A19" s="32" t="s">
        <v>85</v>
      </c>
      <c r="B19" s="12" t="s">
        <v>29</v>
      </c>
      <c r="C19" s="18" t="s">
        <v>12</v>
      </c>
      <c r="D19" s="12" t="s">
        <v>310</v>
      </c>
      <c r="E19" s="20">
        <f>12300-700</f>
        <v>11600</v>
      </c>
      <c r="F19" s="20"/>
      <c r="G19" s="20">
        <f>E19</f>
        <v>11600</v>
      </c>
      <c r="H19" s="138"/>
    </row>
    <row r="20" spans="1:11" ht="12.75" customHeight="1">
      <c r="A20" s="32" t="s">
        <v>86</v>
      </c>
      <c r="B20" s="12" t="s">
        <v>30</v>
      </c>
      <c r="C20" s="18" t="s">
        <v>243</v>
      </c>
      <c r="D20" s="12" t="s">
        <v>310</v>
      </c>
      <c r="E20" s="20">
        <f>15000-900+2400</f>
        <v>16500</v>
      </c>
      <c r="F20" s="20"/>
      <c r="G20" s="20">
        <f t="shared" ref="G20:G31" si="0">E20</f>
        <v>16500</v>
      </c>
      <c r="H20" s="138"/>
    </row>
    <row r="21" spans="1:11" ht="12.75" customHeight="1">
      <c r="A21" s="37" t="s">
        <v>87</v>
      </c>
      <c r="B21" s="42" t="s">
        <v>31</v>
      </c>
      <c r="C21" s="18" t="s">
        <v>256</v>
      </c>
      <c r="D21" s="42" t="s">
        <v>310</v>
      </c>
      <c r="E21" s="41">
        <f>19000-1100+6200</f>
        <v>24100</v>
      </c>
      <c r="F21" s="41"/>
      <c r="G21" s="41">
        <f t="shared" si="0"/>
        <v>24100</v>
      </c>
      <c r="H21" s="138"/>
    </row>
    <row r="22" spans="1:11" ht="12.75" customHeight="1">
      <c r="A22" s="37" t="s">
        <v>88</v>
      </c>
      <c r="B22" s="42" t="s">
        <v>32</v>
      </c>
      <c r="C22" s="18" t="s">
        <v>244</v>
      </c>
      <c r="D22" s="42" t="s">
        <v>310</v>
      </c>
      <c r="E22" s="41">
        <f>15000-900</f>
        <v>14100</v>
      </c>
      <c r="F22" s="41"/>
      <c r="G22" s="41">
        <f t="shared" si="0"/>
        <v>14100</v>
      </c>
      <c r="H22" s="138"/>
    </row>
    <row r="23" spans="1:11" ht="12.75" customHeight="1">
      <c r="A23" s="37" t="s">
        <v>89</v>
      </c>
      <c r="B23" s="42" t="s">
        <v>33</v>
      </c>
      <c r="C23" s="18" t="s">
        <v>257</v>
      </c>
      <c r="D23" s="42" t="s">
        <v>310</v>
      </c>
      <c r="E23" s="41">
        <f>34200-2000+2500</f>
        <v>34700</v>
      </c>
      <c r="F23" s="41"/>
      <c r="G23" s="41">
        <f t="shared" si="0"/>
        <v>34700</v>
      </c>
      <c r="H23" s="138"/>
    </row>
    <row r="24" spans="1:11" ht="12.75" customHeight="1">
      <c r="A24" s="37" t="s">
        <v>90</v>
      </c>
      <c r="B24" s="42" t="s">
        <v>34</v>
      </c>
      <c r="C24" s="18" t="s">
        <v>258</v>
      </c>
      <c r="D24" s="42" t="s">
        <v>310</v>
      </c>
      <c r="E24" s="41">
        <f>41100-2500+2900+1000</f>
        <v>42500</v>
      </c>
      <c r="F24" s="41"/>
      <c r="G24" s="41">
        <f>E24</f>
        <v>42500</v>
      </c>
      <c r="H24" s="138"/>
    </row>
    <row r="25" spans="1:11" ht="12.75" customHeight="1">
      <c r="A25" s="37" t="s">
        <v>91</v>
      </c>
      <c r="B25" s="42" t="s">
        <v>35</v>
      </c>
      <c r="C25" s="18" t="s">
        <v>253</v>
      </c>
      <c r="D25" s="42" t="s">
        <v>310</v>
      </c>
      <c r="E25" s="41">
        <f>11000-600+3100</f>
        <v>13500</v>
      </c>
      <c r="F25" s="41"/>
      <c r="G25" s="41">
        <f t="shared" si="0"/>
        <v>13500</v>
      </c>
      <c r="H25" s="138"/>
    </row>
    <row r="26" spans="1:11" ht="12.75" customHeight="1">
      <c r="A26" s="37" t="s">
        <v>92</v>
      </c>
      <c r="B26" s="42" t="s">
        <v>36</v>
      </c>
      <c r="C26" s="115" t="s">
        <v>13</v>
      </c>
      <c r="D26" s="42" t="s">
        <v>310</v>
      </c>
      <c r="E26" s="41">
        <f>5300-300+1200</f>
        <v>6200</v>
      </c>
      <c r="F26" s="41"/>
      <c r="G26" s="41">
        <f t="shared" si="0"/>
        <v>6200</v>
      </c>
      <c r="H26" s="138"/>
    </row>
    <row r="27" spans="1:11" ht="13.5" customHeight="1">
      <c r="A27" s="37" t="s">
        <v>93</v>
      </c>
      <c r="B27" s="42" t="s">
        <v>37</v>
      </c>
      <c r="C27" s="18" t="s">
        <v>245</v>
      </c>
      <c r="D27" s="42" t="s">
        <v>310</v>
      </c>
      <c r="E27" s="41">
        <f>10000-600</f>
        <v>9400</v>
      </c>
      <c r="F27" s="41"/>
      <c r="G27" s="41">
        <f t="shared" si="0"/>
        <v>9400</v>
      </c>
      <c r="H27" s="138"/>
    </row>
    <row r="28" spans="1:11" ht="12.75" customHeight="1">
      <c r="A28" s="37" t="s">
        <v>94</v>
      </c>
      <c r="B28" s="42" t="s">
        <v>38</v>
      </c>
      <c r="C28" s="18" t="s">
        <v>246</v>
      </c>
      <c r="D28" s="42" t="s">
        <v>310</v>
      </c>
      <c r="E28" s="41">
        <f>9000-800+500</f>
        <v>8700</v>
      </c>
      <c r="F28" s="41"/>
      <c r="G28" s="41">
        <f t="shared" si="0"/>
        <v>8700</v>
      </c>
      <c r="H28" s="138"/>
    </row>
    <row r="29" spans="1:11" ht="12.75" customHeight="1">
      <c r="A29" s="37" t="s">
        <v>95</v>
      </c>
      <c r="B29" s="42" t="s">
        <v>39</v>
      </c>
      <c r="C29" s="18" t="s">
        <v>247</v>
      </c>
      <c r="D29" s="42" t="s">
        <v>310</v>
      </c>
      <c r="E29" s="41">
        <f>12600-700+1000</f>
        <v>12900</v>
      </c>
      <c r="F29" s="41"/>
      <c r="G29" s="41">
        <f t="shared" si="0"/>
        <v>12900</v>
      </c>
      <c r="H29" s="138"/>
    </row>
    <row r="30" spans="1:11" ht="12.75" customHeight="1">
      <c r="A30" s="37" t="s">
        <v>96</v>
      </c>
      <c r="B30" s="42" t="s">
        <v>40</v>
      </c>
      <c r="C30" s="18" t="s">
        <v>259</v>
      </c>
      <c r="D30" s="42" t="s">
        <v>310</v>
      </c>
      <c r="E30" s="41">
        <f>12600-700</f>
        <v>11900</v>
      </c>
      <c r="F30" s="41"/>
      <c r="G30" s="41">
        <f t="shared" si="0"/>
        <v>11900</v>
      </c>
      <c r="H30" s="138"/>
    </row>
    <row r="31" spans="1:11" ht="13.5" customHeight="1">
      <c r="A31" s="32" t="s">
        <v>97</v>
      </c>
      <c r="B31" s="12" t="s">
        <v>41</v>
      </c>
      <c r="C31" s="18" t="s">
        <v>14</v>
      </c>
      <c r="D31" s="12" t="s">
        <v>310</v>
      </c>
      <c r="E31" s="20">
        <v>400</v>
      </c>
      <c r="F31" s="20"/>
      <c r="G31" s="20">
        <f t="shared" si="0"/>
        <v>400</v>
      </c>
      <c r="H31" s="138"/>
    </row>
    <row r="32" spans="1:11" ht="12.75" customHeight="1">
      <c r="A32" s="37" t="s">
        <v>98</v>
      </c>
      <c r="B32" s="31" t="s">
        <v>9</v>
      </c>
      <c r="C32" s="201" t="s">
        <v>16</v>
      </c>
      <c r="D32" s="139"/>
      <c r="E32" s="83">
        <f>SUM(E33+E36+E38+E40)</f>
        <v>1246700</v>
      </c>
      <c r="F32" s="83">
        <f>SUM(F33+F36+F38+F40)</f>
        <v>736300</v>
      </c>
      <c r="G32" s="83">
        <f>SUM(G33+G36+G40)</f>
        <v>0</v>
      </c>
      <c r="H32" s="83">
        <f>SUM(H33+H36+H40)</f>
        <v>0</v>
      </c>
    </row>
    <row r="33" spans="1:8" ht="25.5">
      <c r="A33" s="39" t="s">
        <v>99</v>
      </c>
      <c r="B33" s="217" t="s">
        <v>23</v>
      </c>
      <c r="C33" s="51" t="s">
        <v>17</v>
      </c>
      <c r="D33" s="140"/>
      <c r="E33" s="100">
        <f>SUM(E34:E35)</f>
        <v>443500</v>
      </c>
      <c r="F33" s="100">
        <f>SUM(F34:F35)</f>
        <v>425900</v>
      </c>
      <c r="G33" s="100">
        <f>SUM(G34:G35)</f>
        <v>0</v>
      </c>
      <c r="H33" s="100">
        <f>SUM(H34:H35)</f>
        <v>0</v>
      </c>
    </row>
    <row r="34" spans="1:8" ht="25.5">
      <c r="A34" s="37" t="s">
        <v>100</v>
      </c>
      <c r="B34" s="219"/>
      <c r="C34" s="141" t="s">
        <v>311</v>
      </c>
      <c r="D34" s="142" t="s">
        <v>312</v>
      </c>
      <c r="E34" s="58">
        <f>54000+13000+6000+5300</f>
        <v>78300</v>
      </c>
      <c r="F34" s="126">
        <f>52800+12500+5900+5200</f>
        <v>76400</v>
      </c>
      <c r="G34" s="143"/>
      <c r="H34" s="138"/>
    </row>
    <row r="35" spans="1:8">
      <c r="A35" s="7" t="s">
        <v>101</v>
      </c>
      <c r="B35" s="218"/>
      <c r="C35" s="141" t="s">
        <v>313</v>
      </c>
      <c r="D35" s="144" t="s">
        <v>314</v>
      </c>
      <c r="E35" s="54">
        <f>375700-10500</f>
        <v>365200</v>
      </c>
      <c r="F35" s="127">
        <f>360700-700-10500</f>
        <v>349500</v>
      </c>
      <c r="G35" s="143"/>
      <c r="H35" s="138"/>
    </row>
    <row r="36" spans="1:8">
      <c r="A36" s="7" t="s">
        <v>102</v>
      </c>
      <c r="B36" s="217" t="s">
        <v>24</v>
      </c>
      <c r="C36" s="141" t="s">
        <v>82</v>
      </c>
      <c r="D36" s="142"/>
      <c r="E36" s="54">
        <f>SUM(E37)</f>
        <v>207500</v>
      </c>
      <c r="F36" s="127">
        <f>SUM(F37)</f>
        <v>134500</v>
      </c>
      <c r="G36" s="61">
        <f>SUM(G37)</f>
        <v>0</v>
      </c>
      <c r="H36" s="61">
        <f>SUM(H37)</f>
        <v>0</v>
      </c>
    </row>
    <row r="37" spans="1:8" ht="25.5">
      <c r="A37" s="37" t="s">
        <v>103</v>
      </c>
      <c r="B37" s="218"/>
      <c r="C37" s="141" t="s">
        <v>311</v>
      </c>
      <c r="D37" s="145" t="s">
        <v>312</v>
      </c>
      <c r="E37" s="58">
        <f>120000+61700+8600+17200</f>
        <v>207500</v>
      </c>
      <c r="F37" s="126">
        <f>47000+61700+8600+17200</f>
        <v>134500</v>
      </c>
      <c r="G37" s="25"/>
      <c r="H37" s="146"/>
    </row>
    <row r="38" spans="1:8">
      <c r="A38" s="75" t="s">
        <v>104</v>
      </c>
      <c r="B38" s="136" t="s">
        <v>25</v>
      </c>
      <c r="C38" s="147" t="s">
        <v>315</v>
      </c>
      <c r="D38" s="148"/>
      <c r="E38" s="28">
        <f>SUM(E39)</f>
        <v>240900</v>
      </c>
      <c r="F38" s="149">
        <f>SUM(F39)</f>
        <v>163500</v>
      </c>
      <c r="G38" s="25">
        <f>SUM(G39)</f>
        <v>0</v>
      </c>
      <c r="H38" s="25">
        <f>SUM(H39)</f>
        <v>0</v>
      </c>
    </row>
    <row r="39" spans="1:8">
      <c r="A39" s="75" t="s">
        <v>105</v>
      </c>
      <c r="B39" s="136"/>
      <c r="C39" s="141" t="s">
        <v>316</v>
      </c>
      <c r="D39" s="148" t="s">
        <v>364</v>
      </c>
      <c r="E39" s="58">
        <v>240900</v>
      </c>
      <c r="F39" s="126">
        <v>163500</v>
      </c>
      <c r="G39" s="25"/>
      <c r="H39" s="150"/>
    </row>
    <row r="40" spans="1:8">
      <c r="A40" s="76" t="s">
        <v>106</v>
      </c>
      <c r="B40" s="217" t="s">
        <v>131</v>
      </c>
      <c r="C40" s="151" t="s">
        <v>18</v>
      </c>
      <c r="D40" s="152"/>
      <c r="E40" s="125">
        <f>SUM(E41:E45)</f>
        <v>354800</v>
      </c>
      <c r="F40" s="100">
        <f>SUM(F41:F45)</f>
        <v>12400</v>
      </c>
      <c r="G40" s="100">
        <f>SUM(G41:G45)</f>
        <v>0</v>
      </c>
      <c r="H40" s="100">
        <f>SUM(H41:H45)</f>
        <v>0</v>
      </c>
    </row>
    <row r="41" spans="1:8" ht="25.5">
      <c r="A41" s="75" t="s">
        <v>107</v>
      </c>
      <c r="B41" s="219"/>
      <c r="C41" s="141" t="s">
        <v>311</v>
      </c>
      <c r="D41" s="153" t="s">
        <v>312</v>
      </c>
      <c r="E41" s="58">
        <f>79500+6000+13100+15800</f>
        <v>114400</v>
      </c>
      <c r="F41" s="26"/>
      <c r="G41" s="26"/>
      <c r="H41" s="146"/>
    </row>
    <row r="42" spans="1:8" ht="12.75" customHeight="1">
      <c r="A42" s="77" t="s">
        <v>108</v>
      </c>
      <c r="B42" s="219"/>
      <c r="C42" s="154" t="s">
        <v>317</v>
      </c>
      <c r="D42" s="155" t="s">
        <v>318</v>
      </c>
      <c r="E42" s="54">
        <v>171800</v>
      </c>
      <c r="F42" s="61">
        <v>4900</v>
      </c>
      <c r="G42" s="143"/>
      <c r="H42" s="138"/>
    </row>
    <row r="43" spans="1:8" ht="12.75" customHeight="1">
      <c r="A43" s="77" t="s">
        <v>109</v>
      </c>
      <c r="B43" s="219"/>
      <c r="C43" s="154" t="s">
        <v>319</v>
      </c>
      <c r="D43" s="155" t="s">
        <v>320</v>
      </c>
      <c r="E43" s="54">
        <f>63200-400+700+4000</f>
        <v>67500</v>
      </c>
      <c r="F43" s="127">
        <v>6900</v>
      </c>
      <c r="G43" s="143"/>
      <c r="H43" s="138"/>
    </row>
    <row r="44" spans="1:8" ht="26.25" customHeight="1">
      <c r="A44" s="75" t="s">
        <v>110</v>
      </c>
      <c r="B44" s="219"/>
      <c r="C44" s="55" t="s">
        <v>373</v>
      </c>
      <c r="D44" s="153" t="s">
        <v>372</v>
      </c>
      <c r="E44" s="58">
        <v>400</v>
      </c>
      <c r="F44" s="41"/>
      <c r="G44" s="28"/>
      <c r="H44" s="25"/>
    </row>
    <row r="45" spans="1:8" ht="26.25" customHeight="1">
      <c r="A45" s="75" t="s">
        <v>180</v>
      </c>
      <c r="B45" s="219"/>
      <c r="C45" s="55" t="s">
        <v>321</v>
      </c>
      <c r="D45" s="153" t="s">
        <v>322</v>
      </c>
      <c r="E45" s="58">
        <v>700</v>
      </c>
      <c r="F45" s="126">
        <v>600</v>
      </c>
      <c r="G45" s="28"/>
      <c r="H45" s="25"/>
    </row>
    <row r="46" spans="1:8" ht="25.5">
      <c r="A46" s="37" t="s">
        <v>181</v>
      </c>
      <c r="B46" s="62" t="s">
        <v>19</v>
      </c>
      <c r="C46" s="22" t="s">
        <v>20</v>
      </c>
      <c r="D46" s="38"/>
      <c r="E46" s="83">
        <f>SUM(E47+E62)</f>
        <v>944000</v>
      </c>
      <c r="F46" s="156">
        <f>SUM(F47+F62)</f>
        <v>727800</v>
      </c>
      <c r="G46" s="83">
        <f>SUM(G47+G62)</f>
        <v>0</v>
      </c>
      <c r="H46" s="83">
        <f>SUM(H47+H62)</f>
        <v>0</v>
      </c>
    </row>
    <row r="47" spans="1:8">
      <c r="A47" s="37" t="s">
        <v>182</v>
      </c>
      <c r="B47" s="217" t="s">
        <v>26</v>
      </c>
      <c r="C47" s="60" t="s">
        <v>69</v>
      </c>
      <c r="D47" s="45"/>
      <c r="E47" s="28">
        <f>SUM(E48:E48:E61)</f>
        <v>414300</v>
      </c>
      <c r="F47" s="149">
        <f>SUM(F48:F48:F61)</f>
        <v>237800</v>
      </c>
      <c r="G47" s="28">
        <f>SUM(G48:G48:G61)</f>
        <v>0</v>
      </c>
      <c r="H47" s="28">
        <f>SUM(H48:H48:H61)</f>
        <v>0</v>
      </c>
    </row>
    <row r="48" spans="1:8">
      <c r="A48" s="7" t="s">
        <v>183</v>
      </c>
      <c r="B48" s="219"/>
      <c r="C48" s="55" t="s">
        <v>323</v>
      </c>
      <c r="D48" s="59" t="s">
        <v>324</v>
      </c>
      <c r="E48" s="54">
        <v>17900</v>
      </c>
      <c r="F48" s="126">
        <v>15300</v>
      </c>
      <c r="G48" s="10"/>
      <c r="H48" s="138"/>
    </row>
    <row r="49" spans="1:8">
      <c r="A49" s="37" t="s">
        <v>184</v>
      </c>
      <c r="B49" s="219"/>
      <c r="C49" s="55" t="s">
        <v>325</v>
      </c>
      <c r="D49" s="53" t="s">
        <v>326</v>
      </c>
      <c r="E49" s="58">
        <v>22700</v>
      </c>
      <c r="F49" s="126">
        <v>22300</v>
      </c>
      <c r="G49" s="29"/>
      <c r="H49" s="146"/>
    </row>
    <row r="50" spans="1:8">
      <c r="A50" s="7" t="s">
        <v>185</v>
      </c>
      <c r="B50" s="219"/>
      <c r="C50" s="55" t="s">
        <v>327</v>
      </c>
      <c r="D50" s="59" t="s">
        <v>328</v>
      </c>
      <c r="E50" s="54">
        <v>17400</v>
      </c>
      <c r="F50" s="127">
        <v>10400</v>
      </c>
      <c r="G50" s="143"/>
      <c r="H50" s="138"/>
    </row>
    <row r="51" spans="1:8" ht="25.5">
      <c r="A51" s="37" t="s">
        <v>186</v>
      </c>
      <c r="B51" s="219"/>
      <c r="C51" s="55" t="s">
        <v>329</v>
      </c>
      <c r="D51" s="53" t="s">
        <v>326</v>
      </c>
      <c r="E51" s="58">
        <v>8100</v>
      </c>
      <c r="F51" s="126">
        <v>7900</v>
      </c>
      <c r="G51" s="26"/>
      <c r="H51" s="146"/>
    </row>
    <row r="52" spans="1:8">
      <c r="A52" s="7" t="s">
        <v>187</v>
      </c>
      <c r="B52" s="219"/>
      <c r="C52" s="55" t="s">
        <v>330</v>
      </c>
      <c r="D52" s="59" t="s">
        <v>331</v>
      </c>
      <c r="E52" s="54">
        <v>10800</v>
      </c>
      <c r="F52" s="127">
        <v>10000</v>
      </c>
      <c r="G52" s="143"/>
      <c r="H52" s="138"/>
    </row>
    <row r="53" spans="1:8">
      <c r="A53" s="7" t="s">
        <v>188</v>
      </c>
      <c r="B53" s="219"/>
      <c r="C53" s="55" t="s">
        <v>333</v>
      </c>
      <c r="D53" s="59" t="s">
        <v>332</v>
      </c>
      <c r="E53" s="54">
        <v>12400</v>
      </c>
      <c r="F53" s="127">
        <v>12200</v>
      </c>
      <c r="G53" s="143"/>
      <c r="H53" s="138"/>
    </row>
    <row r="54" spans="1:8">
      <c r="A54" s="7" t="s">
        <v>189</v>
      </c>
      <c r="B54" s="219"/>
      <c r="C54" s="55" t="s">
        <v>334</v>
      </c>
      <c r="D54" s="59" t="s">
        <v>326</v>
      </c>
      <c r="E54" s="54">
        <v>6700</v>
      </c>
      <c r="F54" s="127">
        <v>6600</v>
      </c>
      <c r="G54" s="10"/>
      <c r="H54" s="138"/>
    </row>
    <row r="55" spans="1:8" ht="25.5">
      <c r="A55" s="37" t="s">
        <v>190</v>
      </c>
      <c r="B55" s="219"/>
      <c r="C55" s="157" t="s">
        <v>335</v>
      </c>
      <c r="D55" s="53" t="s">
        <v>324</v>
      </c>
      <c r="E55" s="58">
        <v>600</v>
      </c>
      <c r="F55" s="126">
        <v>500</v>
      </c>
      <c r="G55" s="29"/>
      <c r="H55" s="146"/>
    </row>
    <row r="56" spans="1:8" ht="25.5">
      <c r="A56" s="158" t="s">
        <v>191</v>
      </c>
      <c r="B56" s="219"/>
      <c r="C56" s="157" t="s">
        <v>336</v>
      </c>
      <c r="D56" s="84" t="s">
        <v>324</v>
      </c>
      <c r="E56" s="58">
        <v>400</v>
      </c>
      <c r="F56" s="126"/>
      <c r="G56" s="29"/>
      <c r="H56" s="138"/>
    </row>
    <row r="57" spans="1:8" ht="12.75" customHeight="1">
      <c r="A57" s="66" t="s">
        <v>192</v>
      </c>
      <c r="B57" s="219"/>
      <c r="C57" s="159" t="s">
        <v>337</v>
      </c>
      <c r="D57" s="160" t="s">
        <v>326</v>
      </c>
      <c r="E57" s="161">
        <v>8600</v>
      </c>
      <c r="F57" s="162">
        <v>1000</v>
      </c>
      <c r="G57" s="163"/>
      <c r="H57" s="138"/>
    </row>
    <row r="58" spans="1:8" ht="38.25">
      <c r="A58" s="37" t="s">
        <v>193</v>
      </c>
      <c r="B58" s="219"/>
      <c r="C58" s="164" t="s">
        <v>338</v>
      </c>
      <c r="D58" s="165" t="s">
        <v>326</v>
      </c>
      <c r="E58" s="58">
        <v>500</v>
      </c>
      <c r="F58" s="58"/>
      <c r="G58" s="166"/>
      <c r="H58" s="146"/>
    </row>
    <row r="59" spans="1:8">
      <c r="A59" s="7" t="s">
        <v>194</v>
      </c>
      <c r="B59" s="219"/>
      <c r="C59" s="55" t="s">
        <v>339</v>
      </c>
      <c r="D59" s="59" t="s">
        <v>340</v>
      </c>
      <c r="E59" s="54">
        <v>162100</v>
      </c>
      <c r="F59" s="127">
        <v>151600</v>
      </c>
      <c r="G59" s="21"/>
      <c r="H59" s="138"/>
    </row>
    <row r="60" spans="1:8">
      <c r="A60" s="7" t="s">
        <v>195</v>
      </c>
      <c r="B60" s="219"/>
      <c r="C60" s="55" t="s">
        <v>341</v>
      </c>
      <c r="D60" s="59" t="s">
        <v>342</v>
      </c>
      <c r="E60" s="54">
        <v>140000</v>
      </c>
      <c r="F60" s="127"/>
      <c r="G60" s="21"/>
      <c r="H60" s="138"/>
    </row>
    <row r="61" spans="1:8" ht="25.5">
      <c r="A61" s="7" t="s">
        <v>196</v>
      </c>
      <c r="B61" s="218"/>
      <c r="C61" s="55" t="s">
        <v>383</v>
      </c>
      <c r="D61" s="153" t="s">
        <v>384</v>
      </c>
      <c r="E61" s="58">
        <v>6100</v>
      </c>
      <c r="F61" s="167"/>
      <c r="G61" s="143"/>
      <c r="H61" s="168"/>
    </row>
    <row r="62" spans="1:8">
      <c r="A62" s="37" t="s">
        <v>197</v>
      </c>
      <c r="B62" s="36" t="s">
        <v>27</v>
      </c>
      <c r="C62" s="9" t="s">
        <v>21</v>
      </c>
      <c r="D62" s="38" t="s">
        <v>343</v>
      </c>
      <c r="E62" s="28">
        <v>529700</v>
      </c>
      <c r="F62" s="149">
        <v>490000</v>
      </c>
      <c r="G62" s="25"/>
      <c r="H62" s="138"/>
    </row>
    <row r="63" spans="1:8" ht="25.5">
      <c r="A63" s="37" t="s">
        <v>198</v>
      </c>
      <c r="B63" s="31" t="s">
        <v>76</v>
      </c>
      <c r="C63" s="49" t="s">
        <v>235</v>
      </c>
      <c r="D63" s="30"/>
      <c r="E63" s="30">
        <f>SUM(E64:E69)</f>
        <v>46300</v>
      </c>
      <c r="F63" s="30">
        <f>SUM(F64:F69)</f>
        <v>43700</v>
      </c>
      <c r="G63" s="30">
        <f>SUM(G64:G69)</f>
        <v>0</v>
      </c>
      <c r="H63" s="30">
        <f>SUM(H64:H69)</f>
        <v>0</v>
      </c>
    </row>
    <row r="64" spans="1:8">
      <c r="A64" s="37" t="s">
        <v>199</v>
      </c>
      <c r="B64" s="40" t="s">
        <v>81</v>
      </c>
      <c r="C64" s="18" t="s">
        <v>257</v>
      </c>
      <c r="D64" s="25" t="s">
        <v>344</v>
      </c>
      <c r="E64" s="25">
        <v>1800</v>
      </c>
      <c r="F64" s="25">
        <v>1800</v>
      </c>
      <c r="G64" s="25"/>
      <c r="H64" s="25"/>
    </row>
    <row r="65" spans="1:8">
      <c r="A65" s="37" t="s">
        <v>200</v>
      </c>
      <c r="B65" s="40" t="s">
        <v>345</v>
      </c>
      <c r="C65" s="18" t="s">
        <v>247</v>
      </c>
      <c r="D65" s="25" t="s">
        <v>344</v>
      </c>
      <c r="E65" s="25">
        <v>1800</v>
      </c>
      <c r="F65" s="25">
        <v>1800</v>
      </c>
      <c r="G65" s="25"/>
      <c r="H65" s="25"/>
    </row>
    <row r="66" spans="1:8">
      <c r="A66" s="37" t="s">
        <v>201</v>
      </c>
      <c r="B66" s="40" t="s">
        <v>346</v>
      </c>
      <c r="C66" s="122" t="s">
        <v>55</v>
      </c>
      <c r="D66" s="25" t="s">
        <v>344</v>
      </c>
      <c r="E66" s="25">
        <v>2100</v>
      </c>
      <c r="F66" s="25">
        <v>2100</v>
      </c>
      <c r="G66" s="25"/>
      <c r="H66" s="25"/>
    </row>
    <row r="67" spans="1:8">
      <c r="A67" s="37" t="s">
        <v>202</v>
      </c>
      <c r="B67" s="40" t="s">
        <v>366</v>
      </c>
      <c r="C67" s="122" t="s">
        <v>82</v>
      </c>
      <c r="D67" s="25" t="s">
        <v>344</v>
      </c>
      <c r="E67" s="25">
        <v>2200</v>
      </c>
      <c r="F67" s="25">
        <v>2200</v>
      </c>
      <c r="G67" s="25"/>
      <c r="H67" s="25"/>
    </row>
    <row r="68" spans="1:8">
      <c r="A68" s="37" t="s">
        <v>203</v>
      </c>
      <c r="B68" s="50" t="s">
        <v>385</v>
      </c>
      <c r="C68" s="122" t="s">
        <v>118</v>
      </c>
      <c r="D68" s="25" t="s">
        <v>344</v>
      </c>
      <c r="E68" s="25">
        <v>2000</v>
      </c>
      <c r="F68" s="25">
        <v>2000</v>
      </c>
      <c r="G68" s="25"/>
      <c r="H68" s="25"/>
    </row>
    <row r="69" spans="1:8">
      <c r="A69" s="37" t="s">
        <v>204</v>
      </c>
      <c r="B69" s="217" t="s">
        <v>386</v>
      </c>
      <c r="C69" s="122" t="s">
        <v>18</v>
      </c>
      <c r="D69" s="169"/>
      <c r="E69" s="25">
        <f>SUM(E70)</f>
        <v>36400</v>
      </c>
      <c r="F69" s="25">
        <f>SUM(F70)</f>
        <v>33800</v>
      </c>
      <c r="G69" s="69"/>
      <c r="H69" s="138"/>
    </row>
    <row r="70" spans="1:8" ht="25.5">
      <c r="A70" s="37" t="s">
        <v>205</v>
      </c>
      <c r="B70" s="218"/>
      <c r="C70" s="89" t="s">
        <v>347</v>
      </c>
      <c r="D70" s="170" t="s">
        <v>344</v>
      </c>
      <c r="E70" s="85">
        <v>36400</v>
      </c>
      <c r="F70" s="85">
        <v>33800</v>
      </c>
      <c r="G70" s="143"/>
      <c r="H70" s="138"/>
    </row>
    <row r="71" spans="1:8">
      <c r="A71" s="7" t="s">
        <v>206</v>
      </c>
      <c r="B71" s="13"/>
      <c r="C71" s="14" t="s">
        <v>133</v>
      </c>
      <c r="D71" s="15"/>
      <c r="E71" s="27">
        <f>SUM(E63+E46+E32+E18)</f>
        <v>2443500</v>
      </c>
      <c r="F71" s="27">
        <f>SUM(F63+F46+F32+F18)</f>
        <v>1507800</v>
      </c>
      <c r="G71" s="27">
        <f>SUM(G63+G46+G32+G18)</f>
        <v>206500</v>
      </c>
      <c r="H71" s="27">
        <f>SUM(H63+H46+H32+H18)</f>
        <v>0</v>
      </c>
    </row>
    <row r="72" spans="1:8">
      <c r="D72" s="123"/>
      <c r="E72" s="123"/>
    </row>
  </sheetData>
  <mergeCells count="23">
    <mergeCell ref="A13:A16"/>
    <mergeCell ref="B13:B16"/>
    <mergeCell ref="G15:G16"/>
    <mergeCell ref="A9:H9"/>
    <mergeCell ref="E13:H13"/>
    <mergeCell ref="E14:E16"/>
    <mergeCell ref="F14:G14"/>
    <mergeCell ref="A10:H10"/>
    <mergeCell ref="F15:F16"/>
    <mergeCell ref="E1:H1"/>
    <mergeCell ref="E2:H2"/>
    <mergeCell ref="E3:H3"/>
    <mergeCell ref="E4:H4"/>
    <mergeCell ref="H14:H16"/>
    <mergeCell ref="C13:C16"/>
    <mergeCell ref="E6:G6"/>
    <mergeCell ref="E7:G7"/>
    <mergeCell ref="B69:B70"/>
    <mergeCell ref="B36:B37"/>
    <mergeCell ref="B40:B45"/>
    <mergeCell ref="B47:B61"/>
    <mergeCell ref="B33:B35"/>
    <mergeCell ref="D13:D16"/>
  </mergeCells>
  <pageMargins left="0.59055118110236227" right="0.19685039370078741" top="0.39370078740157483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zoomScale="135" zoomScaleNormal="135" workbookViewId="0">
      <selection activeCell="E12" sqref="E12:H12"/>
    </sheetView>
  </sheetViews>
  <sheetFormatPr defaultRowHeight="12.75"/>
  <cols>
    <col min="1" max="1" width="4" customWidth="1"/>
    <col min="2" max="2" width="10.140625" customWidth="1"/>
    <col min="3" max="3" width="33.140625" customWidth="1"/>
    <col min="4" max="4" width="9.85546875" customWidth="1"/>
    <col min="5" max="6" width="8.7109375" customWidth="1"/>
    <col min="7" max="7" width="11.28515625" customWidth="1"/>
    <col min="8" max="8" width="10.140625" customWidth="1"/>
  </cols>
  <sheetData>
    <row r="1" spans="1:11" ht="14.1" customHeight="1">
      <c r="A1" s="3"/>
      <c r="B1" s="3"/>
      <c r="C1" s="3"/>
      <c r="D1" s="34"/>
      <c r="E1" s="35"/>
      <c r="F1" s="223" t="s">
        <v>7</v>
      </c>
      <c r="G1" s="223"/>
      <c r="H1" s="223"/>
    </row>
    <row r="2" spans="1:11" ht="14.1" customHeight="1">
      <c r="A2" s="3"/>
      <c r="B2" s="3"/>
      <c r="C2" s="3"/>
      <c r="D2" s="34"/>
      <c r="E2" s="35"/>
      <c r="F2" s="223" t="s">
        <v>377</v>
      </c>
      <c r="G2" s="223"/>
      <c r="H2" s="223"/>
      <c r="I2" s="35"/>
    </row>
    <row r="3" spans="1:11" ht="14.1" customHeight="1">
      <c r="A3" s="1"/>
      <c r="B3" s="2"/>
      <c r="C3" s="121"/>
      <c r="D3" s="35"/>
      <c r="E3" s="35"/>
      <c r="F3" s="223" t="s">
        <v>403</v>
      </c>
      <c r="G3" s="223"/>
      <c r="H3" s="223"/>
    </row>
    <row r="4" spans="1:11" ht="14.1" customHeight="1">
      <c r="A4" s="1"/>
      <c r="B4" s="2"/>
      <c r="C4" s="121"/>
      <c r="D4" s="35"/>
      <c r="E4" s="35"/>
      <c r="F4" s="16" t="s">
        <v>135</v>
      </c>
      <c r="G4" s="34"/>
      <c r="H4" s="34"/>
    </row>
    <row r="5" spans="1:11" ht="14.1" customHeight="1">
      <c r="A5" s="1"/>
      <c r="B5" s="2"/>
      <c r="C5" s="121"/>
      <c r="D5" s="35"/>
      <c r="E5" s="35"/>
      <c r="F5" s="16" t="s">
        <v>404</v>
      </c>
      <c r="G5" s="16"/>
      <c r="H5" s="16"/>
    </row>
    <row r="6" spans="1:11" ht="14.1" customHeight="1">
      <c r="A6" s="1"/>
      <c r="B6" s="2"/>
      <c r="C6" s="121"/>
      <c r="D6" s="35"/>
      <c r="E6" s="35"/>
      <c r="F6" s="224" t="s">
        <v>415</v>
      </c>
      <c r="G6" s="224"/>
      <c r="H6" s="224"/>
    </row>
    <row r="7" spans="1:11" ht="14.1" customHeight="1">
      <c r="A7" s="1"/>
      <c r="B7" s="2"/>
      <c r="C7" s="121"/>
      <c r="D7" s="35"/>
      <c r="E7" s="35"/>
      <c r="F7" s="280" t="s">
        <v>418</v>
      </c>
      <c r="G7" s="280"/>
      <c r="H7" s="280"/>
    </row>
    <row r="8" spans="1:11" ht="15" customHeight="1">
      <c r="A8" s="1"/>
      <c r="B8" s="2"/>
      <c r="C8" s="3"/>
      <c r="D8" s="43"/>
      <c r="E8" s="16"/>
      <c r="F8" s="16"/>
      <c r="G8" s="16"/>
      <c r="H8" s="16"/>
    </row>
    <row r="9" spans="1:11" ht="12.75" customHeight="1">
      <c r="A9" s="240" t="s">
        <v>380</v>
      </c>
      <c r="B9" s="240"/>
      <c r="C9" s="240"/>
      <c r="D9" s="240"/>
      <c r="E9" s="240"/>
      <c r="F9" s="240"/>
      <c r="G9" s="240"/>
      <c r="H9" s="240"/>
    </row>
    <row r="10" spans="1:11" ht="12.75" customHeight="1">
      <c r="A10" s="240" t="s">
        <v>304</v>
      </c>
      <c r="B10" s="240"/>
      <c r="C10" s="240"/>
      <c r="D10" s="240"/>
      <c r="E10" s="240"/>
      <c r="F10" s="240"/>
      <c r="G10" s="240"/>
      <c r="H10" s="240"/>
      <c r="I10" s="48"/>
    </row>
    <row r="11" spans="1:11" ht="12.75" customHeight="1">
      <c r="A11" s="1"/>
      <c r="B11" s="2"/>
      <c r="C11" s="3"/>
      <c r="D11" s="43"/>
      <c r="E11" s="111"/>
      <c r="F11" s="111"/>
      <c r="G11" s="111"/>
      <c r="H11" s="110" t="s">
        <v>260</v>
      </c>
      <c r="I11" s="33"/>
    </row>
    <row r="12" spans="1:11" ht="12.75" customHeight="1">
      <c r="A12" s="225" t="s">
        <v>0</v>
      </c>
      <c r="B12" s="220" t="s">
        <v>1</v>
      </c>
      <c r="C12" s="225" t="s">
        <v>50</v>
      </c>
      <c r="D12" s="220" t="s">
        <v>2</v>
      </c>
      <c r="E12" s="233" t="s">
        <v>126</v>
      </c>
      <c r="F12" s="234"/>
      <c r="G12" s="234"/>
      <c r="H12" s="235"/>
    </row>
    <row r="13" spans="1:11" ht="12.75" customHeight="1">
      <c r="A13" s="226"/>
      <c r="B13" s="221"/>
      <c r="C13" s="226"/>
      <c r="D13" s="221"/>
      <c r="E13" s="225" t="s">
        <v>3</v>
      </c>
      <c r="F13" s="241" t="s">
        <v>4</v>
      </c>
      <c r="G13" s="242"/>
      <c r="H13" s="243"/>
    </row>
    <row r="14" spans="1:11" ht="12.75" customHeight="1">
      <c r="A14" s="226"/>
      <c r="B14" s="221"/>
      <c r="C14" s="226"/>
      <c r="D14" s="221"/>
      <c r="E14" s="226"/>
      <c r="F14" s="244" t="s">
        <v>124</v>
      </c>
      <c r="G14" s="245"/>
      <c r="H14" s="225" t="s">
        <v>51</v>
      </c>
    </row>
    <row r="15" spans="1:11" ht="28.5" customHeight="1">
      <c r="A15" s="227"/>
      <c r="B15" s="222"/>
      <c r="C15" s="227"/>
      <c r="D15" s="222"/>
      <c r="E15" s="227"/>
      <c r="F15" s="91" t="s">
        <v>125</v>
      </c>
      <c r="G15" s="93" t="s">
        <v>8</v>
      </c>
      <c r="H15" s="227"/>
    </row>
    <row r="16" spans="1:11" ht="12.75" customHeight="1">
      <c r="A16" s="5">
        <v>1</v>
      </c>
      <c r="B16" s="6" t="s">
        <v>5</v>
      </c>
      <c r="C16" s="4">
        <v>3</v>
      </c>
      <c r="D16" s="6" t="s">
        <v>6</v>
      </c>
      <c r="E16" s="4">
        <v>5</v>
      </c>
      <c r="F16" s="4">
        <v>6</v>
      </c>
      <c r="G16" s="4">
        <v>7</v>
      </c>
      <c r="H16" s="4">
        <v>8</v>
      </c>
      <c r="K16" s="135"/>
    </row>
    <row r="17" spans="1:8" ht="27" customHeight="1">
      <c r="A17" s="37" t="s">
        <v>84</v>
      </c>
      <c r="B17" s="87" t="s">
        <v>10</v>
      </c>
      <c r="C17" s="177" t="s">
        <v>11</v>
      </c>
      <c r="D17" s="42"/>
      <c r="E17" s="82">
        <f>SUM(E18:E21)</f>
        <v>143300</v>
      </c>
      <c r="F17" s="82">
        <f>SUM(F18:F21)</f>
        <v>143300</v>
      </c>
      <c r="G17" s="82">
        <f>SUM(G18:G21)</f>
        <v>131700</v>
      </c>
      <c r="H17" s="82">
        <f>SUM(H18:H21)</f>
        <v>0</v>
      </c>
    </row>
    <row r="18" spans="1:8" ht="13.5" customHeight="1">
      <c r="A18" s="37" t="s">
        <v>85</v>
      </c>
      <c r="B18" s="42" t="s">
        <v>29</v>
      </c>
      <c r="C18" s="68" t="s">
        <v>352</v>
      </c>
      <c r="D18" s="42" t="s">
        <v>71</v>
      </c>
      <c r="E18" s="41">
        <v>98700</v>
      </c>
      <c r="F18" s="20">
        <f>E18-H18</f>
        <v>98700</v>
      </c>
      <c r="G18" s="41">
        <v>87700</v>
      </c>
      <c r="H18" s="82"/>
    </row>
    <row r="19" spans="1:8" ht="12.75" customHeight="1">
      <c r="A19" s="37" t="s">
        <v>86</v>
      </c>
      <c r="B19" s="42" t="s">
        <v>30</v>
      </c>
      <c r="C19" s="18" t="s">
        <v>248</v>
      </c>
      <c r="D19" s="42" t="s">
        <v>71</v>
      </c>
      <c r="E19" s="41">
        <f>8800+1600</f>
        <v>10400</v>
      </c>
      <c r="F19" s="20">
        <f>E19-H19</f>
        <v>10400</v>
      </c>
      <c r="G19" s="41">
        <f>8700+1600</f>
        <v>10300</v>
      </c>
      <c r="H19" s="82"/>
    </row>
    <row r="20" spans="1:8" ht="12.75" customHeight="1">
      <c r="A20" s="37" t="s">
        <v>87</v>
      </c>
      <c r="B20" s="12" t="s">
        <v>31</v>
      </c>
      <c r="C20" s="18" t="s">
        <v>53</v>
      </c>
      <c r="D20" s="42" t="s">
        <v>71</v>
      </c>
      <c r="E20" s="41">
        <f>20800+4200</f>
        <v>25000</v>
      </c>
      <c r="F20" s="20">
        <f>E20-H20</f>
        <v>25000</v>
      </c>
      <c r="G20" s="41">
        <f>20500+4100</f>
        <v>24600</v>
      </c>
      <c r="H20" s="82"/>
    </row>
    <row r="21" spans="1:8" ht="25.5" customHeight="1">
      <c r="A21" s="37" t="s">
        <v>88</v>
      </c>
      <c r="B21" s="42" t="s">
        <v>32</v>
      </c>
      <c r="C21" s="18" t="s">
        <v>242</v>
      </c>
      <c r="D21" s="42" t="s">
        <v>71</v>
      </c>
      <c r="E21" s="41">
        <f>7600+1600</f>
        <v>9200</v>
      </c>
      <c r="F21" s="41">
        <f>E21-H21</f>
        <v>9200</v>
      </c>
      <c r="G21" s="41">
        <f>7500+1600</f>
        <v>9100</v>
      </c>
      <c r="H21" s="82"/>
    </row>
    <row r="22" spans="1:8" ht="38.25">
      <c r="A22" s="39" t="s">
        <v>89</v>
      </c>
      <c r="B22" s="31" t="s">
        <v>9</v>
      </c>
      <c r="C22" s="8" t="s">
        <v>16</v>
      </c>
      <c r="D22" s="44"/>
      <c r="E22" s="83">
        <f>SUM(E23+E24)</f>
        <v>137000</v>
      </c>
      <c r="F22" s="83">
        <f>SUM(F23+F24)</f>
        <v>137000</v>
      </c>
      <c r="G22" s="83">
        <f>SUM(G23+G24)</f>
        <v>107000</v>
      </c>
      <c r="H22" s="83">
        <f>SUM(H23+H24)</f>
        <v>0</v>
      </c>
    </row>
    <row r="23" spans="1:8">
      <c r="A23" s="39" t="s">
        <v>90</v>
      </c>
      <c r="B23" s="40" t="s">
        <v>23</v>
      </c>
      <c r="C23" s="122" t="s">
        <v>376</v>
      </c>
      <c r="D23" s="39">
        <v>10</v>
      </c>
      <c r="E23" s="52">
        <v>11000</v>
      </c>
      <c r="F23" s="20">
        <f>E23-H23</f>
        <v>11000</v>
      </c>
      <c r="G23" s="52">
        <v>7000</v>
      </c>
      <c r="H23" s="52"/>
    </row>
    <row r="24" spans="1:8">
      <c r="A24" s="39" t="s">
        <v>91</v>
      </c>
      <c r="B24" s="50" t="s">
        <v>24</v>
      </c>
      <c r="C24" s="9" t="s">
        <v>82</v>
      </c>
      <c r="D24" s="38" t="s">
        <v>72</v>
      </c>
      <c r="E24" s="23">
        <v>126000</v>
      </c>
      <c r="F24" s="20">
        <f>E24-H24</f>
        <v>126000</v>
      </c>
      <c r="G24" s="24">
        <v>100000</v>
      </c>
      <c r="H24" s="52"/>
    </row>
    <row r="25" spans="1:8" ht="38.25" customHeight="1">
      <c r="A25" s="37" t="s">
        <v>92</v>
      </c>
      <c r="B25" s="117" t="s">
        <v>19</v>
      </c>
      <c r="C25" s="105" t="s">
        <v>20</v>
      </c>
      <c r="D25" s="36"/>
      <c r="E25" s="83">
        <f t="shared" ref="E25:H26" si="0">SUM(E26)</f>
        <v>13700</v>
      </c>
      <c r="F25" s="83">
        <f t="shared" si="0"/>
        <v>13700</v>
      </c>
      <c r="G25" s="83">
        <f t="shared" si="0"/>
        <v>13500</v>
      </c>
      <c r="H25" s="83">
        <f t="shared" si="0"/>
        <v>0</v>
      </c>
    </row>
    <row r="26" spans="1:8" ht="12.75" customHeight="1">
      <c r="A26" s="37" t="s">
        <v>93</v>
      </c>
      <c r="B26" s="108" t="s">
        <v>26</v>
      </c>
      <c r="C26" s="107" t="s">
        <v>69</v>
      </c>
      <c r="D26" s="36"/>
      <c r="E26" s="23">
        <f t="shared" si="0"/>
        <v>13700</v>
      </c>
      <c r="F26" s="23">
        <f t="shared" si="0"/>
        <v>13700</v>
      </c>
      <c r="G26" s="23">
        <f t="shared" si="0"/>
        <v>13500</v>
      </c>
      <c r="H26" s="23">
        <f t="shared" si="0"/>
        <v>0</v>
      </c>
    </row>
    <row r="27" spans="1:8" ht="25.5">
      <c r="A27" s="37" t="s">
        <v>94</v>
      </c>
      <c r="B27" s="206"/>
      <c r="C27" s="89" t="s">
        <v>408</v>
      </c>
      <c r="D27" s="207" t="s">
        <v>71</v>
      </c>
      <c r="E27" s="58">
        <v>13700</v>
      </c>
      <c r="F27" s="41">
        <f>E27-H27</f>
        <v>13700</v>
      </c>
      <c r="G27" s="58">
        <v>13500</v>
      </c>
      <c r="H27" s="85"/>
    </row>
    <row r="28" spans="1:8" ht="25.5">
      <c r="A28" s="37" t="s">
        <v>95</v>
      </c>
      <c r="B28" s="208" t="s">
        <v>76</v>
      </c>
      <c r="C28" s="49" t="s">
        <v>235</v>
      </c>
      <c r="D28" s="207"/>
      <c r="E28" s="83">
        <f t="shared" ref="E28:H29" si="1">SUM(E29)</f>
        <v>1588200</v>
      </c>
      <c r="F28" s="83">
        <f t="shared" si="1"/>
        <v>545400</v>
      </c>
      <c r="G28" s="83">
        <f t="shared" si="1"/>
        <v>0</v>
      </c>
      <c r="H28" s="83">
        <f t="shared" si="1"/>
        <v>1042800</v>
      </c>
    </row>
    <row r="29" spans="1:8">
      <c r="A29" s="37" t="s">
        <v>96</v>
      </c>
      <c r="B29" s="206" t="s">
        <v>81</v>
      </c>
      <c r="C29" s="122" t="s">
        <v>78</v>
      </c>
      <c r="D29" s="207"/>
      <c r="E29" s="58">
        <f t="shared" si="1"/>
        <v>1588200</v>
      </c>
      <c r="F29" s="58">
        <f t="shared" si="1"/>
        <v>545400</v>
      </c>
      <c r="G29" s="58">
        <f t="shared" si="1"/>
        <v>0</v>
      </c>
      <c r="H29" s="58">
        <f t="shared" si="1"/>
        <v>1042800</v>
      </c>
    </row>
    <row r="30" spans="1:8" ht="25.5">
      <c r="A30" s="37" t="s">
        <v>97</v>
      </c>
      <c r="B30" s="206"/>
      <c r="C30" s="89" t="s">
        <v>407</v>
      </c>
      <c r="D30" s="207" t="s">
        <v>76</v>
      </c>
      <c r="E30" s="58">
        <f>1300400+287800</f>
        <v>1588200</v>
      </c>
      <c r="F30" s="209">
        <f>E30-H30</f>
        <v>545400</v>
      </c>
      <c r="G30" s="58"/>
      <c r="H30" s="85">
        <f>650400+104600+287800</f>
        <v>1042800</v>
      </c>
    </row>
    <row r="31" spans="1:8">
      <c r="A31" s="37" t="s">
        <v>98</v>
      </c>
      <c r="B31" s="62" t="s">
        <v>77</v>
      </c>
      <c r="C31" s="49" t="s">
        <v>79</v>
      </c>
      <c r="D31" s="36"/>
      <c r="E31" s="27">
        <f>SUM(E32)</f>
        <v>1592200</v>
      </c>
      <c r="F31" s="27">
        <f>SUM(F32)</f>
        <v>209300</v>
      </c>
      <c r="G31" s="27">
        <f>SUM(G32)</f>
        <v>500</v>
      </c>
      <c r="H31" s="27">
        <f>SUM(H32)</f>
        <v>1382900</v>
      </c>
    </row>
    <row r="32" spans="1:8">
      <c r="A32" s="37" t="s">
        <v>99</v>
      </c>
      <c r="B32" s="40" t="s">
        <v>80</v>
      </c>
      <c r="C32" s="122" t="s">
        <v>78</v>
      </c>
      <c r="D32" s="36" t="s">
        <v>77</v>
      </c>
      <c r="E32" s="23">
        <f>302000+825000+65300+247700+148100+4100</f>
        <v>1592200</v>
      </c>
      <c r="F32" s="20">
        <f>E32-H32</f>
        <v>209300</v>
      </c>
      <c r="G32" s="23">
        <f>200+300</f>
        <v>500</v>
      </c>
      <c r="H32" s="21">
        <f>236200+825000+38300+197700+76800+8900</f>
        <v>1382900</v>
      </c>
    </row>
    <row r="33" spans="1:8">
      <c r="A33" s="7" t="s">
        <v>100</v>
      </c>
      <c r="B33" s="13"/>
      <c r="C33" s="14" t="s">
        <v>133</v>
      </c>
      <c r="D33" s="15"/>
      <c r="E33" s="27">
        <f>E17+E22+E25+E28+E31</f>
        <v>3474400</v>
      </c>
      <c r="F33" s="27">
        <f>F17+F22+F25+F28+F31</f>
        <v>1048700</v>
      </c>
      <c r="G33" s="27">
        <f>G17+G22+G25+G28+G31</f>
        <v>252700</v>
      </c>
      <c r="H33" s="27">
        <f>H17+H22+H25+H28+H31</f>
        <v>2425700</v>
      </c>
    </row>
    <row r="34" spans="1:8">
      <c r="A34" s="238"/>
      <c r="B34" s="239"/>
      <c r="C34" s="239"/>
      <c r="D34" s="239"/>
      <c r="E34" s="239"/>
      <c r="F34" s="239"/>
      <c r="G34" s="239"/>
      <c r="H34" s="239"/>
    </row>
    <row r="35" spans="1:8">
      <c r="A35" s="116"/>
      <c r="D35" s="123"/>
      <c r="E35" s="123"/>
    </row>
    <row r="37" spans="1:8">
      <c r="E37" s="101"/>
    </row>
  </sheetData>
  <mergeCells count="17">
    <mergeCell ref="F1:H1"/>
    <mergeCell ref="F3:H3"/>
    <mergeCell ref="E12:H12"/>
    <mergeCell ref="E13:E15"/>
    <mergeCell ref="F13:H13"/>
    <mergeCell ref="F14:G14"/>
    <mergeCell ref="H14:H15"/>
    <mergeCell ref="F2:H2"/>
    <mergeCell ref="F6:H6"/>
    <mergeCell ref="F7:H7"/>
    <mergeCell ref="A34:H34"/>
    <mergeCell ref="A12:A15"/>
    <mergeCell ref="B12:B15"/>
    <mergeCell ref="C12:C15"/>
    <mergeCell ref="D12:D15"/>
    <mergeCell ref="A9:H9"/>
    <mergeCell ref="A10:H10"/>
  </mergeCells>
  <phoneticPr fontId="5" type="noConversion"/>
  <pageMargins left="0.59055118110236227" right="0.19685039370078741" top="0.39370078740157483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4"/>
  <sheetViews>
    <sheetView zoomScale="135" zoomScaleNormal="135" workbookViewId="0">
      <selection activeCell="D20" sqref="D20"/>
    </sheetView>
  </sheetViews>
  <sheetFormatPr defaultRowHeight="12.75"/>
  <cols>
    <col min="1" max="1" width="4.85546875" customWidth="1"/>
    <col min="2" max="2" width="9.7109375" customWidth="1"/>
    <col min="3" max="3" width="35.5703125" customWidth="1"/>
    <col min="4" max="4" width="8.5703125" customWidth="1"/>
    <col min="5" max="5" width="8.140625" customWidth="1"/>
    <col min="6" max="6" width="9.7109375" customWidth="1"/>
    <col min="7" max="7" width="10.28515625" customWidth="1"/>
    <col min="8" max="8" width="10.140625" customWidth="1"/>
  </cols>
  <sheetData>
    <row r="1" spans="1:12" ht="12.75" customHeight="1">
      <c r="A1" s="3"/>
      <c r="B1" s="3"/>
      <c r="C1" s="3"/>
      <c r="D1" s="34"/>
      <c r="E1" s="35"/>
      <c r="F1" s="223" t="s">
        <v>7</v>
      </c>
      <c r="G1" s="223"/>
      <c r="H1" s="223"/>
      <c r="I1" s="35"/>
    </row>
    <row r="2" spans="1:12" ht="14.1" customHeight="1">
      <c r="A2" s="3"/>
      <c r="B2" s="3"/>
      <c r="C2" s="3"/>
      <c r="D2" s="34"/>
      <c r="E2" s="35"/>
      <c r="F2" s="223" t="s">
        <v>377</v>
      </c>
      <c r="G2" s="223"/>
      <c r="H2" s="223"/>
      <c r="I2" s="35"/>
    </row>
    <row r="3" spans="1:12" ht="12.75" customHeight="1">
      <c r="A3" s="1"/>
      <c r="B3" s="2"/>
      <c r="C3" s="3"/>
      <c r="D3" s="35"/>
      <c r="E3" s="35"/>
      <c r="F3" s="223" t="s">
        <v>403</v>
      </c>
      <c r="G3" s="223"/>
      <c r="H3" s="223"/>
    </row>
    <row r="4" spans="1:12" ht="12.75" customHeight="1">
      <c r="A4" s="1"/>
      <c r="B4" s="2"/>
      <c r="C4" s="3"/>
      <c r="D4" s="35"/>
      <c r="E4" s="35"/>
      <c r="F4" s="224" t="s">
        <v>348</v>
      </c>
      <c r="G4" s="224"/>
      <c r="H4" s="224"/>
    </row>
    <row r="5" spans="1:12" ht="12.75" customHeight="1">
      <c r="A5" s="1"/>
      <c r="B5" s="2"/>
      <c r="C5" s="3"/>
      <c r="D5" s="35"/>
      <c r="E5" s="35"/>
      <c r="F5" s="16" t="s">
        <v>404</v>
      </c>
      <c r="G5" s="205"/>
      <c r="H5" s="205"/>
    </row>
    <row r="6" spans="1:12" ht="12.75" customHeight="1">
      <c r="A6" s="1"/>
      <c r="B6" s="2"/>
      <c r="C6" s="3"/>
      <c r="D6" s="35"/>
      <c r="E6" s="35"/>
      <c r="F6" s="224" t="s">
        <v>415</v>
      </c>
      <c r="G6" s="224"/>
      <c r="H6" s="224"/>
    </row>
    <row r="7" spans="1:12" ht="12.75" customHeight="1">
      <c r="A7" s="1"/>
      <c r="B7" s="2"/>
      <c r="C7" s="3"/>
      <c r="D7" s="35"/>
      <c r="E7" s="35"/>
      <c r="F7" s="280" t="s">
        <v>418</v>
      </c>
      <c r="G7" s="280"/>
      <c r="H7" s="280"/>
    </row>
    <row r="8" spans="1:12" ht="12.75" customHeight="1">
      <c r="A8" s="1"/>
      <c r="B8" s="2"/>
      <c r="C8" s="16"/>
      <c r="D8" s="16"/>
      <c r="E8" s="16"/>
      <c r="F8" s="16"/>
      <c r="G8" s="16"/>
      <c r="H8" s="16"/>
      <c r="I8" s="16"/>
    </row>
    <row r="9" spans="1:12" ht="12.75" customHeight="1">
      <c r="A9" s="216" t="s">
        <v>395</v>
      </c>
      <c r="B9" s="216"/>
      <c r="C9" s="216"/>
      <c r="D9" s="216"/>
      <c r="E9" s="216"/>
      <c r="F9" s="216"/>
      <c r="G9" s="216"/>
      <c r="H9" s="216"/>
    </row>
    <row r="10" spans="1:12">
      <c r="A10" s="171"/>
      <c r="B10" s="171"/>
      <c r="C10" s="171"/>
      <c r="D10" s="171"/>
      <c r="E10" s="171"/>
      <c r="F10" s="171"/>
      <c r="G10" s="172"/>
      <c r="H10" s="200" t="s">
        <v>260</v>
      </c>
    </row>
    <row r="11" spans="1:12" ht="12.75" customHeight="1">
      <c r="A11" s="250" t="s">
        <v>83</v>
      </c>
      <c r="B11" s="250" t="s">
        <v>1</v>
      </c>
      <c r="C11" s="264" t="s">
        <v>50</v>
      </c>
      <c r="D11" s="250" t="s">
        <v>2</v>
      </c>
      <c r="E11" s="257" t="s">
        <v>126</v>
      </c>
      <c r="F11" s="258"/>
      <c r="G11" s="258"/>
      <c r="H11" s="259"/>
    </row>
    <row r="12" spans="1:12" ht="12.75" customHeight="1">
      <c r="A12" s="251"/>
      <c r="B12" s="251"/>
      <c r="C12" s="265"/>
      <c r="D12" s="251"/>
      <c r="E12" s="254" t="s">
        <v>3</v>
      </c>
      <c r="F12" s="257" t="s">
        <v>4</v>
      </c>
      <c r="G12" s="258"/>
      <c r="H12" s="259"/>
    </row>
    <row r="13" spans="1:12" ht="12.75" customHeight="1">
      <c r="A13" s="251"/>
      <c r="B13" s="251"/>
      <c r="C13" s="265"/>
      <c r="D13" s="251"/>
      <c r="E13" s="255"/>
      <c r="F13" s="257" t="s">
        <v>124</v>
      </c>
      <c r="G13" s="259"/>
      <c r="H13" s="255" t="s">
        <v>51</v>
      </c>
    </row>
    <row r="14" spans="1:12" ht="28.5" customHeight="1">
      <c r="A14" s="252"/>
      <c r="B14" s="252"/>
      <c r="C14" s="266"/>
      <c r="D14" s="252"/>
      <c r="E14" s="256"/>
      <c r="F14" s="175" t="s">
        <v>125</v>
      </c>
      <c r="G14" s="174" t="s">
        <v>8</v>
      </c>
      <c r="H14" s="252"/>
    </row>
    <row r="15" spans="1:12">
      <c r="A15" s="176">
        <v>1</v>
      </c>
      <c r="B15" s="176">
        <v>2</v>
      </c>
      <c r="C15" s="176">
        <v>3</v>
      </c>
      <c r="D15" s="174">
        <v>4</v>
      </c>
      <c r="E15" s="174">
        <v>5</v>
      </c>
      <c r="F15" s="176">
        <v>6</v>
      </c>
      <c r="G15" s="176">
        <v>7</v>
      </c>
      <c r="H15" s="176">
        <v>8</v>
      </c>
    </row>
    <row r="16" spans="1:12" ht="25.5">
      <c r="A16" s="174"/>
      <c r="B16" s="87" t="s">
        <v>10</v>
      </c>
      <c r="C16" s="177" t="s">
        <v>11</v>
      </c>
      <c r="D16" s="178"/>
      <c r="E16" s="178">
        <f>E17+E18+E19+E20+E21+E22+E23+E24+E25+E26+E27+E28+E29+E30+E31+E32+E33+E34+E35+E37+E38</f>
        <v>6103300</v>
      </c>
      <c r="F16" s="178">
        <f>SUM(F17:F38)</f>
        <v>6101800</v>
      </c>
      <c r="G16" s="178">
        <f>SUM(G17:G38)</f>
        <v>5877200</v>
      </c>
      <c r="H16" s="178">
        <f>SUM(H17:H38)</f>
        <v>1500</v>
      </c>
      <c r="L16" s="47"/>
    </row>
    <row r="17" spans="1:8">
      <c r="A17" s="179" t="s">
        <v>84</v>
      </c>
      <c r="B17" s="12" t="s">
        <v>29</v>
      </c>
      <c r="C17" s="180" t="s">
        <v>349</v>
      </c>
      <c r="D17" s="12" t="s">
        <v>71</v>
      </c>
      <c r="E17" s="181">
        <f>676100+7500+30500</f>
        <v>714100</v>
      </c>
      <c r="F17" s="181">
        <f>E17-H17</f>
        <v>714100</v>
      </c>
      <c r="G17" s="181">
        <f>651500+7300+29500</f>
        <v>688300</v>
      </c>
      <c r="H17" s="181"/>
    </row>
    <row r="18" spans="1:8">
      <c r="A18" s="182" t="s">
        <v>85</v>
      </c>
      <c r="B18" s="12" t="s">
        <v>30</v>
      </c>
      <c r="C18" s="183" t="s">
        <v>243</v>
      </c>
      <c r="D18" s="12" t="s">
        <v>71</v>
      </c>
      <c r="E18" s="184">
        <f>432200+6100+8100</f>
        <v>446400</v>
      </c>
      <c r="F18" s="181">
        <f>E18-H18</f>
        <v>446400</v>
      </c>
      <c r="G18" s="184">
        <f>416200+6000+8500</f>
        <v>430700</v>
      </c>
      <c r="H18" s="184"/>
    </row>
    <row r="19" spans="1:8">
      <c r="A19" s="67" t="s">
        <v>86</v>
      </c>
      <c r="B19" s="12" t="s">
        <v>31</v>
      </c>
      <c r="C19" s="67" t="s">
        <v>256</v>
      </c>
      <c r="D19" s="12" t="s">
        <v>71</v>
      </c>
      <c r="E19" s="185">
        <f>435800+5600+10200</f>
        <v>451600</v>
      </c>
      <c r="F19" s="181">
        <f t="shared" ref="F19:F26" si="0">E19-H19</f>
        <v>451600</v>
      </c>
      <c r="G19" s="185">
        <f>420400+5400+10100</f>
        <v>435900</v>
      </c>
      <c r="H19" s="185"/>
    </row>
    <row r="20" spans="1:8">
      <c r="A20" s="68" t="s">
        <v>87</v>
      </c>
      <c r="B20" s="12" t="s">
        <v>32</v>
      </c>
      <c r="C20" s="67" t="s">
        <v>350</v>
      </c>
      <c r="D20" s="12" t="s">
        <v>71</v>
      </c>
      <c r="E20" s="185">
        <f>563000+7900+8100</f>
        <v>579000</v>
      </c>
      <c r="F20" s="181">
        <f t="shared" si="0"/>
        <v>577500</v>
      </c>
      <c r="G20" s="185">
        <f>540300-700+7800+8100</f>
        <v>555500</v>
      </c>
      <c r="H20" s="185">
        <v>1500</v>
      </c>
    </row>
    <row r="21" spans="1:8">
      <c r="A21" s="67" t="s">
        <v>88</v>
      </c>
      <c r="B21" s="12" t="s">
        <v>33</v>
      </c>
      <c r="C21" s="68" t="s">
        <v>351</v>
      </c>
      <c r="D21" s="12" t="s">
        <v>71</v>
      </c>
      <c r="E21" s="185">
        <f>902900+4100+27800</f>
        <v>934800</v>
      </c>
      <c r="F21" s="181">
        <f t="shared" si="0"/>
        <v>934800</v>
      </c>
      <c r="G21" s="185">
        <f>867800-600+4000+27000</f>
        <v>898200</v>
      </c>
      <c r="H21" s="185"/>
    </row>
    <row r="22" spans="1:8" ht="12.75" customHeight="1">
      <c r="A22" s="68" t="s">
        <v>89</v>
      </c>
      <c r="B22" s="12" t="s">
        <v>34</v>
      </c>
      <c r="C22" s="68" t="s">
        <v>352</v>
      </c>
      <c r="D22" s="12" t="s">
        <v>71</v>
      </c>
      <c r="E22" s="185">
        <f>792000+10200+5100</f>
        <v>807300</v>
      </c>
      <c r="F22" s="181">
        <f t="shared" si="0"/>
        <v>807300</v>
      </c>
      <c r="G22" s="185">
        <f>761600+10000+5400</f>
        <v>777000</v>
      </c>
      <c r="H22" s="185"/>
    </row>
    <row r="23" spans="1:8">
      <c r="A23" s="186" t="s">
        <v>90</v>
      </c>
      <c r="B23" s="12" t="s">
        <v>35</v>
      </c>
      <c r="C23" s="186" t="s">
        <v>253</v>
      </c>
      <c r="D23" s="12" t="s">
        <v>71</v>
      </c>
      <c r="E23" s="187">
        <f>283800+4200+23300</f>
        <v>311300</v>
      </c>
      <c r="F23" s="181">
        <f t="shared" si="0"/>
        <v>311300</v>
      </c>
      <c r="G23" s="187">
        <f>273400+4100+23000</f>
        <v>300500</v>
      </c>
      <c r="H23" s="187"/>
    </row>
    <row r="24" spans="1:8" ht="12.75" customHeight="1">
      <c r="A24" s="186" t="s">
        <v>91</v>
      </c>
      <c r="B24" s="12" t="s">
        <v>36</v>
      </c>
      <c r="C24" s="186" t="s">
        <v>13</v>
      </c>
      <c r="D24" s="12" t="s">
        <v>71</v>
      </c>
      <c r="E24" s="187">
        <f>324200+4200+500</f>
        <v>328900</v>
      </c>
      <c r="F24" s="185">
        <f t="shared" si="0"/>
        <v>328900</v>
      </c>
      <c r="G24" s="187">
        <f>311900+4100+600</f>
        <v>316600</v>
      </c>
      <c r="H24" s="187"/>
    </row>
    <row r="25" spans="1:8" ht="12.75" customHeight="1">
      <c r="A25" s="186" t="s">
        <v>92</v>
      </c>
      <c r="B25" s="12" t="s">
        <v>37</v>
      </c>
      <c r="C25" s="186" t="s">
        <v>353</v>
      </c>
      <c r="D25" s="12" t="s">
        <v>71</v>
      </c>
      <c r="E25" s="187">
        <f>166500+3200-2500</f>
        <v>167200</v>
      </c>
      <c r="F25" s="185">
        <f t="shared" si="0"/>
        <v>167200</v>
      </c>
      <c r="G25" s="187">
        <f>161900+3100-2600</f>
        <v>162400</v>
      </c>
      <c r="H25" s="187"/>
    </row>
    <row r="26" spans="1:8">
      <c r="A26" s="186" t="s">
        <v>93</v>
      </c>
      <c r="B26" s="12" t="s">
        <v>38</v>
      </c>
      <c r="C26" s="186" t="s">
        <v>354</v>
      </c>
      <c r="D26" s="12" t="s">
        <v>71</v>
      </c>
      <c r="E26" s="187">
        <f>214100+4100+34200</f>
        <v>252400</v>
      </c>
      <c r="F26" s="185">
        <f t="shared" si="0"/>
        <v>252400</v>
      </c>
      <c r="G26" s="187">
        <f>207000+4000+33400</f>
        <v>244400</v>
      </c>
      <c r="H26" s="187"/>
    </row>
    <row r="27" spans="1:8">
      <c r="A27" s="186" t="s">
        <v>94</v>
      </c>
      <c r="B27" s="108" t="s">
        <v>39</v>
      </c>
      <c r="C27" s="186" t="s">
        <v>355</v>
      </c>
      <c r="D27" s="173" t="s">
        <v>71</v>
      </c>
      <c r="E27" s="187">
        <f>300900+8600+27800</f>
        <v>337300</v>
      </c>
      <c r="F27" s="187">
        <f>E27-H27</f>
        <v>337300</v>
      </c>
      <c r="G27" s="187">
        <f>290200+8500+27200</f>
        <v>325900</v>
      </c>
      <c r="H27" s="187"/>
    </row>
    <row r="28" spans="1:8">
      <c r="A28" s="186" t="s">
        <v>95</v>
      </c>
      <c r="B28" s="12" t="s">
        <v>40</v>
      </c>
      <c r="C28" s="186" t="s">
        <v>356</v>
      </c>
      <c r="D28" s="106" t="s">
        <v>71</v>
      </c>
      <c r="E28" s="187">
        <f>225100+5600+600</f>
        <v>231300</v>
      </c>
      <c r="F28" s="185">
        <f t="shared" ref="F28:F37" si="1">E28-H28</f>
        <v>231300</v>
      </c>
      <c r="G28" s="187">
        <f>218700+5400+700</f>
        <v>224800</v>
      </c>
      <c r="H28" s="187"/>
    </row>
    <row r="29" spans="1:8">
      <c r="A29" s="186" t="s">
        <v>96</v>
      </c>
      <c r="B29" s="12" t="s">
        <v>41</v>
      </c>
      <c r="C29" s="188" t="s">
        <v>357</v>
      </c>
      <c r="D29" s="12" t="s">
        <v>71</v>
      </c>
      <c r="E29" s="185">
        <f>135000+3100+6900</f>
        <v>145000</v>
      </c>
      <c r="F29" s="185">
        <f t="shared" si="1"/>
        <v>145000</v>
      </c>
      <c r="G29" s="185">
        <f>127800+3000+6900</f>
        <v>137700</v>
      </c>
      <c r="H29" s="185"/>
    </row>
    <row r="30" spans="1:8">
      <c r="A30" s="67" t="s">
        <v>97</v>
      </c>
      <c r="B30" s="12" t="s">
        <v>42</v>
      </c>
      <c r="C30" s="188" t="s">
        <v>358</v>
      </c>
      <c r="D30" s="12" t="s">
        <v>71</v>
      </c>
      <c r="E30" s="185">
        <f>184100+3600+3700</f>
        <v>191400</v>
      </c>
      <c r="F30" s="185">
        <f t="shared" si="1"/>
        <v>191400</v>
      </c>
      <c r="G30" s="185">
        <f>174100+3500+3800</f>
        <v>181400</v>
      </c>
      <c r="H30" s="185"/>
    </row>
    <row r="31" spans="1:8">
      <c r="A31" s="186" t="s">
        <v>98</v>
      </c>
      <c r="B31" s="12" t="s">
        <v>43</v>
      </c>
      <c r="C31" s="189" t="s">
        <v>359</v>
      </c>
      <c r="D31" s="12" t="s">
        <v>71</v>
      </c>
      <c r="E31" s="190">
        <f>100400+3300+8800</f>
        <v>112500</v>
      </c>
      <c r="F31" s="185">
        <f t="shared" si="1"/>
        <v>112500</v>
      </c>
      <c r="G31" s="190">
        <f>95300+3200+8300</f>
        <v>106800</v>
      </c>
      <c r="H31" s="190"/>
    </row>
    <row r="32" spans="1:8" ht="12.75" customHeight="1">
      <c r="A32" s="186" t="s">
        <v>99</v>
      </c>
      <c r="B32" s="12" t="s">
        <v>44</v>
      </c>
      <c r="C32" s="186" t="s">
        <v>363</v>
      </c>
      <c r="D32" s="12" t="s">
        <v>71</v>
      </c>
      <c r="E32" s="187">
        <f>47000+100</f>
        <v>47100</v>
      </c>
      <c r="F32" s="185">
        <f>E32-H32</f>
        <v>47100</v>
      </c>
      <c r="G32" s="187">
        <f>46000+100</f>
        <v>46100</v>
      </c>
      <c r="H32" s="187"/>
    </row>
    <row r="33" spans="1:8" ht="12.75" customHeight="1">
      <c r="A33" s="186" t="s">
        <v>100</v>
      </c>
      <c r="B33" s="12" t="s">
        <v>45</v>
      </c>
      <c r="C33" s="67" t="s">
        <v>249</v>
      </c>
      <c r="D33" s="12" t="s">
        <v>71</v>
      </c>
      <c r="E33" s="190">
        <v>3700</v>
      </c>
      <c r="F33" s="185">
        <f t="shared" si="1"/>
        <v>3700</v>
      </c>
      <c r="G33" s="190">
        <v>3600</v>
      </c>
      <c r="H33" s="190"/>
    </row>
    <row r="34" spans="1:8">
      <c r="A34" s="186" t="s">
        <v>101</v>
      </c>
      <c r="B34" s="12" t="s">
        <v>46</v>
      </c>
      <c r="C34" s="191" t="s">
        <v>53</v>
      </c>
      <c r="D34" s="12" t="s">
        <v>71</v>
      </c>
      <c r="E34" s="190">
        <v>12100</v>
      </c>
      <c r="F34" s="185">
        <f t="shared" si="1"/>
        <v>12100</v>
      </c>
      <c r="G34" s="190">
        <v>11900</v>
      </c>
      <c r="H34" s="190"/>
    </row>
    <row r="35" spans="1:8">
      <c r="A35" s="186" t="s">
        <v>102</v>
      </c>
      <c r="B35" s="260" t="s">
        <v>47</v>
      </c>
      <c r="C35" s="262" t="s">
        <v>242</v>
      </c>
      <c r="D35" s="246" t="s">
        <v>71</v>
      </c>
      <c r="E35" s="248">
        <v>5800</v>
      </c>
      <c r="F35" s="248">
        <f t="shared" si="1"/>
        <v>5800</v>
      </c>
      <c r="G35" s="248">
        <v>5700</v>
      </c>
      <c r="H35" s="248"/>
    </row>
    <row r="36" spans="1:8" ht="12.75" customHeight="1">
      <c r="A36" s="192"/>
      <c r="B36" s="261"/>
      <c r="C36" s="263"/>
      <c r="D36" s="247"/>
      <c r="E36" s="249"/>
      <c r="F36" s="249"/>
      <c r="G36" s="249"/>
      <c r="H36" s="249"/>
    </row>
    <row r="37" spans="1:8">
      <c r="A37" s="67" t="s">
        <v>103</v>
      </c>
      <c r="B37" s="12" t="s">
        <v>48</v>
      </c>
      <c r="C37" s="67" t="s">
        <v>66</v>
      </c>
      <c r="D37" s="12" t="s">
        <v>71</v>
      </c>
      <c r="E37" s="185">
        <v>24100</v>
      </c>
      <c r="F37" s="185">
        <f t="shared" si="1"/>
        <v>24100</v>
      </c>
      <c r="G37" s="185">
        <v>23800</v>
      </c>
      <c r="H37" s="185"/>
    </row>
    <row r="38" spans="1:8" ht="12.75" customHeight="1">
      <c r="A38" s="67" t="s">
        <v>104</v>
      </c>
      <c r="B38" s="12" t="s">
        <v>52</v>
      </c>
      <c r="C38" s="67" t="s">
        <v>111</v>
      </c>
      <c r="D38" s="12"/>
      <c r="E38" s="185">
        <f>SUM(E39+E40)</f>
        <v>0</v>
      </c>
      <c r="F38" s="185">
        <f>SUM(F39+F40)</f>
        <v>0</v>
      </c>
      <c r="G38" s="185">
        <f>SUM(G39+G40)</f>
        <v>0</v>
      </c>
      <c r="H38" s="185">
        <f>SUM(H39+H40)</f>
        <v>0</v>
      </c>
    </row>
    <row r="39" spans="1:8" ht="25.5" customHeight="1">
      <c r="A39" s="192" t="s">
        <v>105</v>
      </c>
      <c r="B39" s="12"/>
      <c r="C39" s="193" t="s">
        <v>397</v>
      </c>
      <c r="D39" s="12" t="s">
        <v>71</v>
      </c>
      <c r="E39" s="203">
        <f>113400-77000+3800-40200</f>
        <v>0</v>
      </c>
      <c r="F39" s="204">
        <f>E39-H39</f>
        <v>0</v>
      </c>
      <c r="G39" s="203"/>
      <c r="H39" s="203"/>
    </row>
    <row r="40" spans="1:8">
      <c r="A40" s="192" t="s">
        <v>106</v>
      </c>
      <c r="B40" s="192"/>
      <c r="C40" s="193" t="s">
        <v>396</v>
      </c>
      <c r="D40" s="42" t="s">
        <v>71</v>
      </c>
      <c r="E40" s="203">
        <f>4400-4400</f>
        <v>0</v>
      </c>
      <c r="F40" s="204">
        <f>E40-H40</f>
        <v>0</v>
      </c>
      <c r="G40" s="203"/>
      <c r="H40" s="203"/>
    </row>
    <row r="41" spans="1:8">
      <c r="A41" s="194" t="s">
        <v>107</v>
      </c>
      <c r="B41" s="194"/>
      <c r="C41" s="109" t="s">
        <v>133</v>
      </c>
      <c r="D41" s="194"/>
      <c r="E41" s="178">
        <f>E17+E18+E19+E20+E21+E22+E23+E24+E25+E26+E27+E28+E29+E30+E31+E32+E33+E34+E35+E37+E38</f>
        <v>6103300</v>
      </c>
      <c r="F41" s="195">
        <f>SUM(F17:F38)</f>
        <v>6101800</v>
      </c>
      <c r="G41" s="195">
        <f>SUM(G17:G38)</f>
        <v>5877200</v>
      </c>
      <c r="H41" s="195">
        <f>SUM(H17:H38)</f>
        <v>1500</v>
      </c>
    </row>
    <row r="42" spans="1:8">
      <c r="A42" s="253" t="s">
        <v>360</v>
      </c>
      <c r="B42" s="253"/>
      <c r="C42" s="253"/>
      <c r="D42" s="253"/>
      <c r="E42" s="253"/>
      <c r="F42" s="253"/>
      <c r="G42" s="253"/>
      <c r="H42" s="253"/>
    </row>
    <row r="44" spans="1:8">
      <c r="E44" t="s">
        <v>239</v>
      </c>
    </row>
  </sheetData>
  <mergeCells count="24">
    <mergeCell ref="H35:H36"/>
    <mergeCell ref="F2:H2"/>
    <mergeCell ref="F6:H6"/>
    <mergeCell ref="F7:H7"/>
    <mergeCell ref="A42:H42"/>
    <mergeCell ref="E12:E14"/>
    <mergeCell ref="F12:H12"/>
    <mergeCell ref="F13:G13"/>
    <mergeCell ref="H13:H14"/>
    <mergeCell ref="D11:D14"/>
    <mergeCell ref="B35:B36"/>
    <mergeCell ref="E35:E36"/>
    <mergeCell ref="F35:F36"/>
    <mergeCell ref="C35:C36"/>
    <mergeCell ref="F1:H1"/>
    <mergeCell ref="F3:H3"/>
    <mergeCell ref="F4:H4"/>
    <mergeCell ref="A9:H9"/>
    <mergeCell ref="D35:D36"/>
    <mergeCell ref="G35:G36"/>
    <mergeCell ref="A11:A14"/>
    <mergeCell ref="E11:H11"/>
    <mergeCell ref="B11:B14"/>
    <mergeCell ref="C11:C14"/>
  </mergeCells>
  <pageMargins left="0.59055118110236227" right="0.19685039370078741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17"/>
  <sheetViews>
    <sheetView zoomScale="135" zoomScaleNormal="135" workbookViewId="0">
      <selection activeCell="F7" sqref="F7:H7"/>
    </sheetView>
  </sheetViews>
  <sheetFormatPr defaultRowHeight="12.75"/>
  <cols>
    <col min="1" max="1" width="4" customWidth="1"/>
    <col min="2" max="2" width="10.140625" customWidth="1"/>
    <col min="3" max="3" width="33" customWidth="1"/>
    <col min="4" max="4" width="8.85546875" customWidth="1"/>
    <col min="5" max="5" width="8.7109375" customWidth="1"/>
    <col min="6" max="6" width="8.85546875" customWidth="1"/>
    <col min="7" max="7" width="11" customWidth="1"/>
    <col min="8" max="8" width="10.140625" customWidth="1"/>
  </cols>
  <sheetData>
    <row r="1" spans="1:9" ht="12.75" customHeight="1">
      <c r="A1" s="3"/>
      <c r="B1" s="3"/>
      <c r="C1" s="3"/>
      <c r="D1" s="34"/>
      <c r="E1" s="35"/>
      <c r="F1" s="223" t="s">
        <v>7</v>
      </c>
      <c r="G1" s="223"/>
      <c r="H1" s="223"/>
    </row>
    <row r="2" spans="1:9" ht="14.1" customHeight="1">
      <c r="A2" s="3"/>
      <c r="B2" s="3"/>
      <c r="C2" s="3"/>
      <c r="D2" s="34"/>
      <c r="E2" s="35"/>
      <c r="F2" s="223" t="s">
        <v>377</v>
      </c>
      <c r="G2" s="223"/>
      <c r="H2" s="223"/>
      <c r="I2" s="35"/>
    </row>
    <row r="3" spans="1:9" ht="12.75" customHeight="1">
      <c r="A3" s="1"/>
      <c r="B3" s="2"/>
      <c r="C3" s="3"/>
      <c r="D3" s="35"/>
      <c r="E3" s="35"/>
      <c r="F3" s="223" t="s">
        <v>403</v>
      </c>
      <c r="G3" s="223"/>
      <c r="H3" s="223"/>
    </row>
    <row r="4" spans="1:9" ht="12.75" customHeight="1">
      <c r="A4" s="1"/>
      <c r="B4" s="2"/>
      <c r="C4" s="3"/>
      <c r="D4" s="35"/>
      <c r="E4" s="35"/>
      <c r="F4" s="224" t="s">
        <v>361</v>
      </c>
      <c r="G4" s="224"/>
      <c r="H4" s="224"/>
    </row>
    <row r="5" spans="1:9" ht="12.75" customHeight="1">
      <c r="A5" s="1"/>
      <c r="B5" s="2"/>
      <c r="C5" s="3"/>
      <c r="D5" s="35"/>
      <c r="E5" s="35"/>
      <c r="F5" s="16" t="s">
        <v>404</v>
      </c>
      <c r="G5" s="16"/>
      <c r="H5" s="16"/>
      <c r="I5" s="16"/>
    </row>
    <row r="6" spans="1:9" ht="12.75" customHeight="1">
      <c r="A6" s="1"/>
      <c r="B6" s="2"/>
      <c r="C6" s="3"/>
      <c r="D6" s="35"/>
      <c r="E6" s="35"/>
      <c r="F6" s="224" t="s">
        <v>415</v>
      </c>
      <c r="G6" s="224"/>
      <c r="H6" s="224"/>
      <c r="I6" s="16"/>
    </row>
    <row r="7" spans="1:9" ht="12.75" customHeight="1">
      <c r="A7" s="1"/>
      <c r="B7" s="2"/>
      <c r="C7" s="3"/>
      <c r="D7" s="35"/>
      <c r="E7" s="35"/>
      <c r="F7" s="280" t="s">
        <v>418</v>
      </c>
      <c r="G7" s="280"/>
      <c r="H7" s="280"/>
      <c r="I7" s="16"/>
    </row>
    <row r="8" spans="1:9">
      <c r="A8" s="232" t="s">
        <v>381</v>
      </c>
      <c r="B8" s="232"/>
      <c r="C8" s="232"/>
      <c r="D8" s="232"/>
      <c r="E8" s="232"/>
      <c r="F8" s="232"/>
      <c r="G8" s="232"/>
      <c r="H8" s="232"/>
    </row>
    <row r="9" spans="1:9" ht="12.75" customHeight="1">
      <c r="A9" s="232"/>
      <c r="B9" s="232"/>
      <c r="C9" s="232"/>
      <c r="D9" s="232"/>
      <c r="E9" s="232"/>
      <c r="F9" s="232"/>
      <c r="G9" s="232"/>
      <c r="H9" s="232"/>
      <c r="I9" s="33"/>
    </row>
    <row r="10" spans="1:9">
      <c r="A10" s="232"/>
      <c r="B10" s="232"/>
      <c r="C10" s="232"/>
      <c r="D10" s="232"/>
      <c r="E10" s="232"/>
      <c r="F10" s="232"/>
      <c r="G10" s="232"/>
      <c r="H10" s="232"/>
    </row>
    <row r="11" spans="1:9" ht="12.75" customHeight="1">
      <c r="A11" s="33"/>
      <c r="B11" s="33"/>
      <c r="C11" s="33"/>
      <c r="D11" s="33"/>
      <c r="E11" s="33"/>
      <c r="F11" s="33"/>
      <c r="G11" s="33"/>
      <c r="H11" s="33"/>
    </row>
    <row r="12" spans="1:9">
      <c r="A12" s="1"/>
      <c r="B12" s="2"/>
      <c r="C12" s="3"/>
      <c r="D12" s="43"/>
      <c r="E12" s="111"/>
      <c r="F12" s="111"/>
      <c r="G12" s="111"/>
      <c r="H12" s="110" t="s">
        <v>260</v>
      </c>
    </row>
    <row r="13" spans="1:9" ht="12.75" customHeight="1">
      <c r="A13" s="225" t="s">
        <v>0</v>
      </c>
      <c r="B13" s="228" t="s">
        <v>1</v>
      </c>
      <c r="C13" s="225" t="s">
        <v>50</v>
      </c>
      <c r="D13" s="220" t="s">
        <v>2</v>
      </c>
      <c r="E13" s="233" t="s">
        <v>65</v>
      </c>
      <c r="F13" s="234"/>
      <c r="G13" s="234"/>
      <c r="H13" s="235"/>
    </row>
    <row r="14" spans="1:9" ht="25.5" customHeight="1">
      <c r="A14" s="226"/>
      <c r="B14" s="229"/>
      <c r="C14" s="226"/>
      <c r="D14" s="221"/>
      <c r="E14" s="225" t="s">
        <v>3</v>
      </c>
      <c r="F14" s="268" t="s">
        <v>4</v>
      </c>
      <c r="G14" s="268"/>
      <c r="H14" s="269"/>
    </row>
    <row r="15" spans="1:9">
      <c r="A15" s="226"/>
      <c r="B15" s="229"/>
      <c r="C15" s="226"/>
      <c r="D15" s="221"/>
      <c r="E15" s="226"/>
      <c r="F15" s="267" t="s">
        <v>124</v>
      </c>
      <c r="G15" s="267"/>
      <c r="H15" s="225" t="s">
        <v>51</v>
      </c>
    </row>
    <row r="16" spans="1:9" ht="25.5">
      <c r="A16" s="227"/>
      <c r="B16" s="230"/>
      <c r="C16" s="227"/>
      <c r="D16" s="222"/>
      <c r="E16" s="227"/>
      <c r="F16" s="91" t="s">
        <v>125</v>
      </c>
      <c r="G16" s="93" t="s">
        <v>8</v>
      </c>
      <c r="H16" s="227"/>
    </row>
    <row r="17" spans="1:12">
      <c r="A17" s="5">
        <v>1</v>
      </c>
      <c r="B17" s="6" t="s">
        <v>5</v>
      </c>
      <c r="C17" s="4">
        <v>3</v>
      </c>
      <c r="D17" s="6" t="s">
        <v>6</v>
      </c>
      <c r="E17" s="4">
        <v>5</v>
      </c>
      <c r="F17" s="4">
        <v>6</v>
      </c>
      <c r="G17" s="4">
        <v>7</v>
      </c>
      <c r="H17" s="4">
        <v>8</v>
      </c>
    </row>
    <row r="18" spans="1:12" ht="25.5">
      <c r="A18" s="37" t="s">
        <v>84</v>
      </c>
      <c r="B18" s="87" t="s">
        <v>10</v>
      </c>
      <c r="C18" s="17" t="s">
        <v>11</v>
      </c>
      <c r="D18" s="12"/>
      <c r="E18" s="82">
        <f>SUM(E19:E39)</f>
        <v>5119900</v>
      </c>
      <c r="F18" s="82">
        <f>SUM(F19:F39)</f>
        <v>4965700</v>
      </c>
      <c r="G18" s="82">
        <f>SUM(G19:G39)</f>
        <v>3616600</v>
      </c>
      <c r="H18" s="82">
        <f>SUM(H19:H39)</f>
        <v>154200</v>
      </c>
      <c r="L18" s="47"/>
    </row>
    <row r="19" spans="1:12">
      <c r="A19" s="32" t="s">
        <v>85</v>
      </c>
      <c r="B19" s="12" t="s">
        <v>29</v>
      </c>
      <c r="C19" s="18" t="s">
        <v>12</v>
      </c>
      <c r="D19" s="12" t="s">
        <v>70</v>
      </c>
      <c r="E19" s="20">
        <f>338000+1100+400+5000+900+3500</f>
        <v>348900</v>
      </c>
      <c r="F19" s="20">
        <f t="shared" ref="F19:F30" si="0">E19-H19</f>
        <v>338900</v>
      </c>
      <c r="G19" s="20">
        <v>193700</v>
      </c>
      <c r="H19" s="20">
        <v>10000</v>
      </c>
    </row>
    <row r="20" spans="1:12">
      <c r="A20" s="32" t="s">
        <v>86</v>
      </c>
      <c r="B20" s="12" t="s">
        <v>30</v>
      </c>
      <c r="C20" s="18" t="s">
        <v>243</v>
      </c>
      <c r="D20" s="12" t="s">
        <v>71</v>
      </c>
      <c r="E20" s="20">
        <f>297600+400+1000</f>
        <v>299000</v>
      </c>
      <c r="F20" s="20">
        <f t="shared" si="0"/>
        <v>297000</v>
      </c>
      <c r="G20" s="20">
        <v>199600</v>
      </c>
      <c r="H20" s="20">
        <v>2000</v>
      </c>
    </row>
    <row r="21" spans="1:12">
      <c r="A21" s="37" t="s">
        <v>87</v>
      </c>
      <c r="B21" s="42" t="s">
        <v>31</v>
      </c>
      <c r="C21" s="18" t="s">
        <v>256</v>
      </c>
      <c r="D21" s="42" t="s">
        <v>71</v>
      </c>
      <c r="E21" s="41">
        <f>361100+400+10000+10000+1300</f>
        <v>382800</v>
      </c>
      <c r="F21" s="41">
        <f t="shared" si="0"/>
        <v>372800</v>
      </c>
      <c r="G21" s="41">
        <v>256800</v>
      </c>
      <c r="H21" s="41">
        <v>10000</v>
      </c>
    </row>
    <row r="22" spans="1:12" ht="25.5">
      <c r="A22" s="37" t="s">
        <v>88</v>
      </c>
      <c r="B22" s="42" t="s">
        <v>32</v>
      </c>
      <c r="C22" s="18" t="s">
        <v>244</v>
      </c>
      <c r="D22" s="42" t="s">
        <v>71</v>
      </c>
      <c r="E22" s="41">
        <f>303300+400+7600+1500</f>
        <v>312800</v>
      </c>
      <c r="F22" s="41">
        <f t="shared" si="0"/>
        <v>312800</v>
      </c>
      <c r="G22" s="41">
        <v>197700</v>
      </c>
      <c r="H22" s="41"/>
    </row>
    <row r="23" spans="1:12">
      <c r="A23" s="37" t="s">
        <v>89</v>
      </c>
      <c r="B23" s="42" t="s">
        <v>33</v>
      </c>
      <c r="C23" s="18" t="s">
        <v>257</v>
      </c>
      <c r="D23" s="42" t="s">
        <v>71</v>
      </c>
      <c r="E23" s="41">
        <f>328700+20000+500+1500+4000</f>
        <v>354700</v>
      </c>
      <c r="F23" s="41">
        <f t="shared" si="0"/>
        <v>328700</v>
      </c>
      <c r="G23" s="41">
        <v>224500</v>
      </c>
      <c r="H23" s="41">
        <f>6000+20000</f>
        <v>26000</v>
      </c>
    </row>
    <row r="24" spans="1:12" ht="12.75" customHeight="1">
      <c r="A24" s="37" t="s">
        <v>90</v>
      </c>
      <c r="B24" s="42" t="s">
        <v>34</v>
      </c>
      <c r="C24" s="18" t="s">
        <v>258</v>
      </c>
      <c r="D24" s="42" t="s">
        <v>71</v>
      </c>
      <c r="E24" s="41">
        <f>276800+400+25000</f>
        <v>302200</v>
      </c>
      <c r="F24" s="41">
        <f t="shared" si="0"/>
        <v>282200</v>
      </c>
      <c r="G24" s="41">
        <v>159200</v>
      </c>
      <c r="H24" s="41">
        <f>1000+25000-6000</f>
        <v>20000</v>
      </c>
    </row>
    <row r="25" spans="1:12">
      <c r="A25" s="37" t="s">
        <v>91</v>
      </c>
      <c r="B25" s="42" t="s">
        <v>35</v>
      </c>
      <c r="C25" s="18" t="s">
        <v>253</v>
      </c>
      <c r="D25" s="42" t="s">
        <v>71</v>
      </c>
      <c r="E25" s="41">
        <f>247100+400+5000+2000</f>
        <v>254500</v>
      </c>
      <c r="F25" s="41">
        <f t="shared" si="0"/>
        <v>254500</v>
      </c>
      <c r="G25" s="41">
        <v>181500</v>
      </c>
      <c r="H25" s="41"/>
    </row>
    <row r="26" spans="1:12" ht="12.75" customHeight="1">
      <c r="A26" s="37" t="s">
        <v>92</v>
      </c>
      <c r="B26" s="42" t="s">
        <v>36</v>
      </c>
      <c r="C26" s="18" t="s">
        <v>13</v>
      </c>
      <c r="D26" s="42" t="s">
        <v>71</v>
      </c>
      <c r="E26" s="41">
        <f>232200+400+5000+2500</f>
        <v>240100</v>
      </c>
      <c r="F26" s="41">
        <f t="shared" si="0"/>
        <v>238700</v>
      </c>
      <c r="G26" s="41">
        <v>176900</v>
      </c>
      <c r="H26" s="41">
        <f>900+500</f>
        <v>1400</v>
      </c>
    </row>
    <row r="27" spans="1:12" ht="25.5">
      <c r="A27" s="37" t="s">
        <v>93</v>
      </c>
      <c r="B27" s="42" t="s">
        <v>37</v>
      </c>
      <c r="C27" s="18" t="s">
        <v>245</v>
      </c>
      <c r="D27" s="42" t="s">
        <v>71</v>
      </c>
      <c r="E27" s="41">
        <f>116900+500+5000</f>
        <v>122400</v>
      </c>
      <c r="F27" s="41">
        <f t="shared" si="0"/>
        <v>122400</v>
      </c>
      <c r="G27" s="41">
        <v>84500</v>
      </c>
      <c r="H27" s="41"/>
    </row>
    <row r="28" spans="1:12">
      <c r="A28" s="37" t="s">
        <v>94</v>
      </c>
      <c r="B28" s="42" t="s">
        <v>38</v>
      </c>
      <c r="C28" s="18" t="s">
        <v>246</v>
      </c>
      <c r="D28" s="42" t="s">
        <v>71</v>
      </c>
      <c r="E28" s="41">
        <f>198600+400+5000+1000</f>
        <v>205000</v>
      </c>
      <c r="F28" s="41">
        <f t="shared" si="0"/>
        <v>185000</v>
      </c>
      <c r="G28" s="41">
        <v>128000</v>
      </c>
      <c r="H28" s="41">
        <v>20000</v>
      </c>
    </row>
    <row r="29" spans="1:12">
      <c r="A29" s="37" t="s">
        <v>95</v>
      </c>
      <c r="B29" s="42" t="s">
        <v>39</v>
      </c>
      <c r="C29" s="18" t="s">
        <v>247</v>
      </c>
      <c r="D29" s="42" t="s">
        <v>71</v>
      </c>
      <c r="E29" s="41">
        <f>207000+400+5000+1700</f>
        <v>214100</v>
      </c>
      <c r="F29" s="41">
        <f t="shared" si="0"/>
        <v>214100</v>
      </c>
      <c r="G29" s="41">
        <v>148300</v>
      </c>
      <c r="H29" s="41"/>
    </row>
    <row r="30" spans="1:12">
      <c r="A30" s="37" t="s">
        <v>96</v>
      </c>
      <c r="B30" s="42" t="s">
        <v>40</v>
      </c>
      <c r="C30" s="18" t="s">
        <v>259</v>
      </c>
      <c r="D30" s="42" t="s">
        <v>71</v>
      </c>
      <c r="E30" s="41">
        <f>141600+400</f>
        <v>142000</v>
      </c>
      <c r="F30" s="41">
        <f t="shared" si="0"/>
        <v>142000</v>
      </c>
      <c r="G30" s="41">
        <v>107800</v>
      </c>
      <c r="H30" s="41"/>
    </row>
    <row r="31" spans="1:12">
      <c r="A31" s="32" t="s">
        <v>97</v>
      </c>
      <c r="B31" s="12" t="s">
        <v>41</v>
      </c>
      <c r="C31" s="18" t="s">
        <v>14</v>
      </c>
      <c r="D31" s="12" t="s">
        <v>71</v>
      </c>
      <c r="E31" s="20">
        <f>241100+6000+1000</f>
        <v>248100</v>
      </c>
      <c r="F31" s="20">
        <f>E31-H31</f>
        <v>241100</v>
      </c>
      <c r="G31" s="20">
        <v>176200</v>
      </c>
      <c r="H31" s="20">
        <f>1000+6000</f>
        <v>7000</v>
      </c>
    </row>
    <row r="32" spans="1:12">
      <c r="A32" s="32" t="s">
        <v>98</v>
      </c>
      <c r="B32" s="12" t="s">
        <v>42</v>
      </c>
      <c r="C32" s="18" t="s">
        <v>15</v>
      </c>
      <c r="D32" s="12" t="s">
        <v>71</v>
      </c>
      <c r="E32" s="20">
        <f>407200+4100</f>
        <v>411300</v>
      </c>
      <c r="F32" s="20">
        <f>E32-H32</f>
        <v>411300</v>
      </c>
      <c r="G32" s="20">
        <v>337500</v>
      </c>
      <c r="H32" s="20"/>
    </row>
    <row r="33" spans="1:8">
      <c r="A33" s="32" t="s">
        <v>99</v>
      </c>
      <c r="B33" s="12" t="s">
        <v>43</v>
      </c>
      <c r="C33" s="18" t="s">
        <v>119</v>
      </c>
      <c r="D33" s="12" t="s">
        <v>71</v>
      </c>
      <c r="E33" s="20">
        <f>209300+25600+2000+1000</f>
        <v>237900</v>
      </c>
      <c r="F33" s="20">
        <f>E33-H33</f>
        <v>192300</v>
      </c>
      <c r="G33" s="20">
        <v>143200</v>
      </c>
      <c r="H33" s="20">
        <f>21500+25600-1500</f>
        <v>45600</v>
      </c>
    </row>
    <row r="34" spans="1:8" ht="12.75" customHeight="1">
      <c r="A34" s="37" t="s">
        <v>100</v>
      </c>
      <c r="B34" s="42" t="s">
        <v>44</v>
      </c>
      <c r="C34" s="18" t="s">
        <v>248</v>
      </c>
      <c r="D34" s="12" t="s">
        <v>71</v>
      </c>
      <c r="E34" s="41">
        <f>152700+5000</f>
        <v>157700</v>
      </c>
      <c r="F34" s="41">
        <f>E34-H34</f>
        <v>155700</v>
      </c>
      <c r="G34" s="41">
        <v>143200</v>
      </c>
      <c r="H34" s="41">
        <v>2000</v>
      </c>
    </row>
    <row r="35" spans="1:8" ht="12.75" customHeight="1">
      <c r="A35" s="32" t="s">
        <v>101</v>
      </c>
      <c r="B35" s="12" t="s">
        <v>45</v>
      </c>
      <c r="C35" s="18" t="s">
        <v>53</v>
      </c>
      <c r="D35" s="12" t="s">
        <v>71</v>
      </c>
      <c r="E35" s="20">
        <v>323500</v>
      </c>
      <c r="F35" s="41">
        <f t="shared" ref="F35:F44" si="1">E35-H35</f>
        <v>315500</v>
      </c>
      <c r="G35" s="20">
        <v>293200</v>
      </c>
      <c r="H35" s="20">
        <v>8000</v>
      </c>
    </row>
    <row r="36" spans="1:8" ht="25.5">
      <c r="A36" s="37" t="s">
        <v>102</v>
      </c>
      <c r="B36" s="42" t="s">
        <v>46</v>
      </c>
      <c r="C36" s="18" t="s">
        <v>242</v>
      </c>
      <c r="D36" s="42" t="s">
        <v>71</v>
      </c>
      <c r="E36" s="41">
        <f>143000+700</f>
        <v>143700</v>
      </c>
      <c r="F36" s="41">
        <f t="shared" si="1"/>
        <v>143700</v>
      </c>
      <c r="G36" s="41">
        <v>132100</v>
      </c>
      <c r="H36" s="41"/>
    </row>
    <row r="37" spans="1:8" ht="25.5">
      <c r="A37" s="37" t="s">
        <v>103</v>
      </c>
      <c r="B37" s="42" t="s">
        <v>47</v>
      </c>
      <c r="C37" s="18" t="s">
        <v>66</v>
      </c>
      <c r="D37" s="42" t="s">
        <v>71</v>
      </c>
      <c r="E37" s="41">
        <v>273200</v>
      </c>
      <c r="F37" s="41">
        <f t="shared" si="1"/>
        <v>271000</v>
      </c>
      <c r="G37" s="41">
        <v>232900</v>
      </c>
      <c r="H37" s="41">
        <v>2200</v>
      </c>
    </row>
    <row r="38" spans="1:8" ht="12.75" customHeight="1">
      <c r="A38" s="37" t="s">
        <v>104</v>
      </c>
      <c r="B38" s="42" t="s">
        <v>367</v>
      </c>
      <c r="C38" s="18" t="s">
        <v>363</v>
      </c>
      <c r="D38" s="42" t="s">
        <v>71</v>
      </c>
      <c r="E38" s="41">
        <f>126900+200</f>
        <v>127100</v>
      </c>
      <c r="F38" s="41">
        <f t="shared" si="1"/>
        <v>127100</v>
      </c>
      <c r="G38" s="41">
        <v>99800</v>
      </c>
      <c r="H38" s="41"/>
    </row>
    <row r="39" spans="1:8" ht="12" customHeight="1">
      <c r="A39" s="37" t="s">
        <v>105</v>
      </c>
      <c r="B39" s="246" t="s">
        <v>52</v>
      </c>
      <c r="C39" s="18" t="s">
        <v>69</v>
      </c>
      <c r="D39" s="12"/>
      <c r="E39" s="41">
        <f>SUM(E40:E44)</f>
        <v>18900</v>
      </c>
      <c r="F39" s="41">
        <f>SUM(F40:F44)</f>
        <v>18900</v>
      </c>
      <c r="G39" s="41"/>
      <c r="H39" s="41"/>
    </row>
    <row r="40" spans="1:8" ht="25.5">
      <c r="A40" s="37" t="s">
        <v>106</v>
      </c>
      <c r="B40" s="270"/>
      <c r="C40" s="57" t="s">
        <v>263</v>
      </c>
      <c r="D40" s="118" t="s">
        <v>71</v>
      </c>
      <c r="E40" s="98">
        <v>5000</v>
      </c>
      <c r="F40" s="41">
        <f t="shared" si="1"/>
        <v>5000</v>
      </c>
      <c r="G40" s="41"/>
      <c r="H40" s="41"/>
    </row>
    <row r="41" spans="1:8">
      <c r="A41" s="37" t="s">
        <v>107</v>
      </c>
      <c r="B41" s="270"/>
      <c r="C41" s="57" t="s">
        <v>264</v>
      </c>
      <c r="D41" s="118" t="s">
        <v>71</v>
      </c>
      <c r="E41" s="98">
        <f>5000-5000</f>
        <v>0</v>
      </c>
      <c r="F41" s="41">
        <f t="shared" si="1"/>
        <v>0</v>
      </c>
      <c r="G41" s="41"/>
      <c r="H41" s="41"/>
    </row>
    <row r="42" spans="1:8" ht="12.75" customHeight="1">
      <c r="A42" s="37" t="s">
        <v>108</v>
      </c>
      <c r="B42" s="270"/>
      <c r="C42" s="57" t="s">
        <v>291</v>
      </c>
      <c r="D42" s="118" t="s">
        <v>71</v>
      </c>
      <c r="E42" s="98">
        <f>4000-1100+2000</f>
        <v>4900</v>
      </c>
      <c r="F42" s="41">
        <f t="shared" si="1"/>
        <v>4900</v>
      </c>
      <c r="G42" s="41"/>
      <c r="H42" s="41"/>
    </row>
    <row r="43" spans="1:8" ht="12.75" customHeight="1">
      <c r="A43" s="37" t="s">
        <v>109</v>
      </c>
      <c r="B43" s="270"/>
      <c r="C43" s="57" t="s">
        <v>265</v>
      </c>
      <c r="D43" s="118" t="s">
        <v>71</v>
      </c>
      <c r="E43" s="98">
        <v>3000</v>
      </c>
      <c r="F43" s="41">
        <f t="shared" si="1"/>
        <v>3000</v>
      </c>
      <c r="G43" s="41"/>
      <c r="H43" s="41"/>
    </row>
    <row r="44" spans="1:8">
      <c r="A44" s="37" t="s">
        <v>110</v>
      </c>
      <c r="B44" s="247"/>
      <c r="C44" s="57" t="s">
        <v>398</v>
      </c>
      <c r="D44" s="118" t="s">
        <v>71</v>
      </c>
      <c r="E44" s="98">
        <v>6000</v>
      </c>
      <c r="F44" s="41">
        <f t="shared" si="1"/>
        <v>6000</v>
      </c>
      <c r="G44" s="41"/>
      <c r="H44" s="41"/>
    </row>
    <row r="45" spans="1:8" ht="38.25">
      <c r="A45" s="39" t="s">
        <v>180</v>
      </c>
      <c r="B45" s="31" t="s">
        <v>9</v>
      </c>
      <c r="C45" s="8" t="s">
        <v>16</v>
      </c>
      <c r="D45" s="44"/>
      <c r="E45" s="83">
        <f>E46+E47+E48+E49+E50</f>
        <v>2535400</v>
      </c>
      <c r="F45" s="83">
        <f>F46+F47+F48+F49+F50</f>
        <v>2525400</v>
      </c>
      <c r="G45" s="83">
        <f>G46+G47+G48+G49+G50</f>
        <v>942600</v>
      </c>
      <c r="H45" s="83">
        <f>H46+H47+H48+H49+H50</f>
        <v>10000</v>
      </c>
    </row>
    <row r="46" spans="1:8" ht="25.5">
      <c r="A46" s="39" t="s">
        <v>181</v>
      </c>
      <c r="B46" s="40" t="s">
        <v>23</v>
      </c>
      <c r="C46" s="51" t="s">
        <v>17</v>
      </c>
      <c r="D46" s="39">
        <v>10</v>
      </c>
      <c r="E46" s="100">
        <f>381100+2300+500</f>
        <v>383900</v>
      </c>
      <c r="F46" s="41">
        <f>E46-H46</f>
        <v>383900</v>
      </c>
      <c r="G46" s="125">
        <v>334800</v>
      </c>
      <c r="H46" s="100"/>
    </row>
    <row r="47" spans="1:8" ht="12.75" customHeight="1">
      <c r="A47" s="39" t="s">
        <v>182</v>
      </c>
      <c r="B47" s="50"/>
      <c r="C47" s="119" t="s">
        <v>231</v>
      </c>
      <c r="D47" s="108" t="s">
        <v>77</v>
      </c>
      <c r="E47" s="25">
        <f>27700+100</f>
        <v>27800</v>
      </c>
      <c r="F47" s="41">
        <f>E47-H47</f>
        <v>27800</v>
      </c>
      <c r="G47" s="28">
        <v>27000</v>
      </c>
      <c r="H47" s="25"/>
    </row>
    <row r="48" spans="1:8">
      <c r="A48" s="39" t="s">
        <v>183</v>
      </c>
      <c r="B48" s="50" t="s">
        <v>24</v>
      </c>
      <c r="C48" s="9" t="s">
        <v>82</v>
      </c>
      <c r="D48" s="38" t="s">
        <v>72</v>
      </c>
      <c r="E48" s="28">
        <f>131000+5000+4000</f>
        <v>140000</v>
      </c>
      <c r="F48" s="41">
        <f>E48-H48</f>
        <v>130000</v>
      </c>
      <c r="G48" s="28">
        <v>95400</v>
      </c>
      <c r="H48" s="25">
        <f>5000+5000</f>
        <v>10000</v>
      </c>
    </row>
    <row r="49" spans="1:8">
      <c r="A49" s="39" t="s">
        <v>184</v>
      </c>
      <c r="B49" s="50" t="s">
        <v>25</v>
      </c>
      <c r="C49" s="122" t="s">
        <v>376</v>
      </c>
      <c r="D49" s="38" t="s">
        <v>72</v>
      </c>
      <c r="E49" s="28">
        <f>548800+1700</f>
        <v>550500</v>
      </c>
      <c r="F49" s="41">
        <f>E49-H49</f>
        <v>550500</v>
      </c>
      <c r="G49" s="28">
        <v>485400</v>
      </c>
      <c r="H49" s="28"/>
    </row>
    <row r="50" spans="1:8" ht="12.75" customHeight="1">
      <c r="A50" s="39" t="s">
        <v>185</v>
      </c>
      <c r="B50" s="217" t="s">
        <v>131</v>
      </c>
      <c r="C50" s="11" t="s">
        <v>69</v>
      </c>
      <c r="D50" s="38"/>
      <c r="E50" s="28">
        <f>SUM(E51:E64)</f>
        <v>1433200</v>
      </c>
      <c r="F50" s="28">
        <f>SUM(F51:F64)</f>
        <v>1433200</v>
      </c>
      <c r="G50" s="28">
        <f>SUM(G51:G64)</f>
        <v>0</v>
      </c>
      <c r="H50" s="28">
        <f>SUM(H51:H64)</f>
        <v>0</v>
      </c>
    </row>
    <row r="51" spans="1:8" ht="12.75" customHeight="1">
      <c r="A51" s="37" t="s">
        <v>186</v>
      </c>
      <c r="B51" s="219"/>
      <c r="C51" s="134" t="s">
        <v>387</v>
      </c>
      <c r="D51" s="53" t="s">
        <v>72</v>
      </c>
      <c r="E51" s="58">
        <v>23000</v>
      </c>
      <c r="F51" s="98">
        <f>E51-H51</f>
        <v>23000</v>
      </c>
      <c r="G51" s="54"/>
      <c r="H51" s="56"/>
    </row>
    <row r="52" spans="1:8" ht="25.5">
      <c r="A52" s="37" t="s">
        <v>187</v>
      </c>
      <c r="B52" s="219"/>
      <c r="C52" s="55" t="s">
        <v>266</v>
      </c>
      <c r="D52" s="53" t="s">
        <v>72</v>
      </c>
      <c r="E52" s="58">
        <v>10000</v>
      </c>
      <c r="F52" s="98">
        <f>E52-H52</f>
        <v>10000</v>
      </c>
      <c r="G52" s="54"/>
      <c r="H52" s="56"/>
    </row>
    <row r="53" spans="1:8" ht="25.5">
      <c r="A53" s="37" t="s">
        <v>188</v>
      </c>
      <c r="B53" s="219"/>
      <c r="C53" s="55" t="s">
        <v>267</v>
      </c>
      <c r="D53" s="53" t="s">
        <v>72</v>
      </c>
      <c r="E53" s="58">
        <v>10000</v>
      </c>
      <c r="F53" s="98">
        <f t="shared" ref="F53:F61" si="2">E53-H53</f>
        <v>10000</v>
      </c>
      <c r="G53" s="54"/>
      <c r="H53" s="56"/>
    </row>
    <row r="54" spans="1:8">
      <c r="A54" s="37" t="s">
        <v>189</v>
      </c>
      <c r="B54" s="219"/>
      <c r="C54" s="55" t="s">
        <v>262</v>
      </c>
      <c r="D54" s="53" t="s">
        <v>72</v>
      </c>
      <c r="E54" s="58">
        <f>655000+45000+1500</f>
        <v>701500</v>
      </c>
      <c r="F54" s="98">
        <f t="shared" si="2"/>
        <v>701500</v>
      </c>
      <c r="G54" s="54"/>
      <c r="H54" s="56"/>
    </row>
    <row r="55" spans="1:8">
      <c r="A55" s="37" t="s">
        <v>190</v>
      </c>
      <c r="B55" s="219"/>
      <c r="C55" s="55" t="s">
        <v>268</v>
      </c>
      <c r="D55" s="53" t="s">
        <v>72</v>
      </c>
      <c r="E55" s="58">
        <f>25000-2400-1200-8100</f>
        <v>13300</v>
      </c>
      <c r="F55" s="98">
        <f t="shared" si="2"/>
        <v>13300</v>
      </c>
      <c r="G55" s="54"/>
      <c r="H55" s="54"/>
    </row>
    <row r="56" spans="1:8">
      <c r="A56" s="37" t="s">
        <v>191</v>
      </c>
      <c r="B56" s="219"/>
      <c r="C56" s="55" t="s">
        <v>269</v>
      </c>
      <c r="D56" s="53" t="s">
        <v>72</v>
      </c>
      <c r="E56" s="58">
        <v>2200</v>
      </c>
      <c r="F56" s="98">
        <f t="shared" si="2"/>
        <v>2200</v>
      </c>
      <c r="G56" s="54"/>
      <c r="H56" s="54"/>
    </row>
    <row r="57" spans="1:8" ht="25.5">
      <c r="A57" s="37" t="s">
        <v>192</v>
      </c>
      <c r="B57" s="219"/>
      <c r="C57" s="55" t="s">
        <v>389</v>
      </c>
      <c r="D57" s="53" t="s">
        <v>72</v>
      </c>
      <c r="E57" s="58">
        <f>46000-1100</f>
        <v>44900</v>
      </c>
      <c r="F57" s="98">
        <f t="shared" si="2"/>
        <v>44900</v>
      </c>
      <c r="G57" s="54"/>
      <c r="H57" s="56"/>
    </row>
    <row r="58" spans="1:8" ht="25.5">
      <c r="A58" s="37" t="s">
        <v>193</v>
      </c>
      <c r="B58" s="219"/>
      <c r="C58" s="55" t="s">
        <v>301</v>
      </c>
      <c r="D58" s="53" t="s">
        <v>72</v>
      </c>
      <c r="E58" s="58">
        <f>25000+3400+4500</f>
        <v>32900</v>
      </c>
      <c r="F58" s="98">
        <f t="shared" si="2"/>
        <v>32900</v>
      </c>
      <c r="G58" s="54"/>
      <c r="H58" s="56"/>
    </row>
    <row r="59" spans="1:8">
      <c r="A59" s="37" t="s">
        <v>194</v>
      </c>
      <c r="B59" s="219"/>
      <c r="C59" s="55" t="s">
        <v>270</v>
      </c>
      <c r="D59" s="53" t="s">
        <v>72</v>
      </c>
      <c r="E59" s="58">
        <f>60000-4500-3700-7300</f>
        <v>44500</v>
      </c>
      <c r="F59" s="98">
        <f t="shared" si="2"/>
        <v>44500</v>
      </c>
      <c r="G59" s="54"/>
      <c r="H59" s="56"/>
    </row>
    <row r="60" spans="1:8" ht="25.5">
      <c r="A60" s="37" t="s">
        <v>195</v>
      </c>
      <c r="B60" s="219"/>
      <c r="C60" s="55" t="s">
        <v>302</v>
      </c>
      <c r="D60" s="53" t="s">
        <v>72</v>
      </c>
      <c r="E60" s="58">
        <f>10000+3000</f>
        <v>13000</v>
      </c>
      <c r="F60" s="98">
        <f t="shared" si="2"/>
        <v>13000</v>
      </c>
      <c r="G60" s="54"/>
      <c r="H60" s="56"/>
    </row>
    <row r="61" spans="1:8" ht="12.75" customHeight="1">
      <c r="A61" s="37" t="s">
        <v>196</v>
      </c>
      <c r="B61" s="219"/>
      <c r="C61" s="55" t="s">
        <v>271</v>
      </c>
      <c r="D61" s="53" t="s">
        <v>72</v>
      </c>
      <c r="E61" s="58">
        <f>400000+34000</f>
        <v>434000</v>
      </c>
      <c r="F61" s="98">
        <f t="shared" si="2"/>
        <v>434000</v>
      </c>
      <c r="G61" s="54"/>
      <c r="H61" s="56"/>
    </row>
    <row r="62" spans="1:8" ht="12.75" customHeight="1">
      <c r="A62" s="37" t="s">
        <v>197</v>
      </c>
      <c r="B62" s="219"/>
      <c r="C62" s="55" t="s">
        <v>368</v>
      </c>
      <c r="D62" s="53" t="s">
        <v>72</v>
      </c>
      <c r="E62" s="58">
        <f>10000+2400+4500+1500+900</f>
        <v>19300</v>
      </c>
      <c r="F62" s="98">
        <f>E62-H62</f>
        <v>19300</v>
      </c>
      <c r="G62" s="54"/>
      <c r="H62" s="56"/>
    </row>
    <row r="63" spans="1:8" ht="12.75" customHeight="1">
      <c r="A63" s="37" t="s">
        <v>198</v>
      </c>
      <c r="B63" s="219"/>
      <c r="C63" s="55" t="s">
        <v>272</v>
      </c>
      <c r="D63" s="53" t="s">
        <v>72</v>
      </c>
      <c r="E63" s="58">
        <f>70000+9600</f>
        <v>79600</v>
      </c>
      <c r="F63" s="98">
        <f>E63-H63</f>
        <v>79600</v>
      </c>
      <c r="G63" s="54"/>
      <c r="H63" s="56"/>
    </row>
    <row r="64" spans="1:8" ht="12.75" customHeight="1">
      <c r="A64" s="37" t="s">
        <v>199</v>
      </c>
      <c r="B64" s="219"/>
      <c r="C64" s="55" t="s">
        <v>416</v>
      </c>
      <c r="D64" s="53" t="s">
        <v>77</v>
      </c>
      <c r="E64" s="58">
        <v>5000</v>
      </c>
      <c r="F64" s="98">
        <f>E64-H64</f>
        <v>5000</v>
      </c>
      <c r="G64" s="54"/>
      <c r="H64" s="56"/>
    </row>
    <row r="65" spans="1:8" ht="38.25">
      <c r="A65" s="37" t="s">
        <v>200</v>
      </c>
      <c r="B65" s="62" t="s">
        <v>54</v>
      </c>
      <c r="C65" s="22" t="s">
        <v>261</v>
      </c>
      <c r="D65" s="46"/>
      <c r="E65" s="83">
        <f>SUM(E66:E73)</f>
        <v>1781200</v>
      </c>
      <c r="F65" s="83">
        <f>SUM(F66:F73)</f>
        <v>1756800</v>
      </c>
      <c r="G65" s="83">
        <f>SUM(G66:G73)</f>
        <v>1123500</v>
      </c>
      <c r="H65" s="83">
        <f>SUM(H66:H73)</f>
        <v>24400</v>
      </c>
    </row>
    <row r="66" spans="1:8">
      <c r="A66" s="37" t="s">
        <v>201</v>
      </c>
      <c r="B66" s="36" t="s">
        <v>58</v>
      </c>
      <c r="C66" s="9" t="s">
        <v>55</v>
      </c>
      <c r="D66" s="45" t="s">
        <v>75</v>
      </c>
      <c r="E66" s="23">
        <f>173300+2300+5000+2000</f>
        <v>182600</v>
      </c>
      <c r="F66" s="41">
        <f t="shared" ref="F66:F72" si="3">E66-H66</f>
        <v>180400</v>
      </c>
      <c r="G66" s="23">
        <v>150700</v>
      </c>
      <c r="H66" s="23">
        <f>800+1400</f>
        <v>2200</v>
      </c>
    </row>
    <row r="67" spans="1:8" ht="25.5">
      <c r="A67" s="37" t="s">
        <v>202</v>
      </c>
      <c r="B67" s="36" t="s">
        <v>59</v>
      </c>
      <c r="C67" s="9" t="s">
        <v>238</v>
      </c>
      <c r="D67" s="38" t="s">
        <v>75</v>
      </c>
      <c r="E67" s="28">
        <f>525700+2500+1000+1000</f>
        <v>530200</v>
      </c>
      <c r="F67" s="41">
        <f t="shared" si="3"/>
        <v>530200</v>
      </c>
      <c r="G67" s="28">
        <v>462700</v>
      </c>
      <c r="H67" s="28"/>
    </row>
    <row r="68" spans="1:8">
      <c r="A68" s="37" t="s">
        <v>203</v>
      </c>
      <c r="B68" s="36" t="s">
        <v>60</v>
      </c>
      <c r="C68" s="60" t="s">
        <v>74</v>
      </c>
      <c r="D68" s="38" t="s">
        <v>75</v>
      </c>
      <c r="E68" s="28">
        <f>422800+800+4500+2600+6500+2200</f>
        <v>439400</v>
      </c>
      <c r="F68" s="41">
        <f t="shared" si="3"/>
        <v>419400</v>
      </c>
      <c r="G68" s="28">
        <v>290400</v>
      </c>
      <c r="H68" s="28">
        <v>20000</v>
      </c>
    </row>
    <row r="69" spans="1:8" ht="12.75" customHeight="1">
      <c r="A69" s="37" t="s">
        <v>204</v>
      </c>
      <c r="B69" s="36" t="s">
        <v>61</v>
      </c>
      <c r="C69" s="9" t="s">
        <v>132</v>
      </c>
      <c r="D69" s="38" t="s">
        <v>75</v>
      </c>
      <c r="E69" s="28">
        <f>65100+2000+1500</f>
        <v>68600</v>
      </c>
      <c r="F69" s="41">
        <f t="shared" si="3"/>
        <v>67800</v>
      </c>
      <c r="G69" s="28">
        <f>56900+700-500</f>
        <v>57100</v>
      </c>
      <c r="H69" s="28">
        <v>800</v>
      </c>
    </row>
    <row r="70" spans="1:8">
      <c r="A70" s="37" t="s">
        <v>205</v>
      </c>
      <c r="B70" s="36" t="s">
        <v>62</v>
      </c>
      <c r="C70" s="60" t="s">
        <v>56</v>
      </c>
      <c r="D70" s="38" t="s">
        <v>75</v>
      </c>
      <c r="E70" s="28">
        <f>62000+4400</f>
        <v>66400</v>
      </c>
      <c r="F70" s="41">
        <f t="shared" si="3"/>
        <v>65300</v>
      </c>
      <c r="G70" s="28">
        <f>51500+3200</f>
        <v>54700</v>
      </c>
      <c r="H70" s="28">
        <v>1100</v>
      </c>
    </row>
    <row r="71" spans="1:8" ht="12.75" customHeight="1">
      <c r="A71" s="37" t="s">
        <v>206</v>
      </c>
      <c r="B71" s="36" t="s">
        <v>63</v>
      </c>
      <c r="C71" s="9" t="s">
        <v>232</v>
      </c>
      <c r="D71" s="38" t="s">
        <v>75</v>
      </c>
      <c r="E71" s="28">
        <f>104200-38800+2000+700+6500</f>
        <v>74600</v>
      </c>
      <c r="F71" s="41">
        <f t="shared" si="3"/>
        <v>74300</v>
      </c>
      <c r="G71" s="28">
        <f>52600+2000</f>
        <v>54600</v>
      </c>
      <c r="H71" s="28">
        <v>300</v>
      </c>
    </row>
    <row r="72" spans="1:8">
      <c r="A72" s="37" t="s">
        <v>207</v>
      </c>
      <c r="B72" s="36" t="s">
        <v>64</v>
      </c>
      <c r="C72" s="9" t="s">
        <v>57</v>
      </c>
      <c r="D72" s="38" t="s">
        <v>75</v>
      </c>
      <c r="E72" s="28">
        <f>148300-78900+1400+2900</f>
        <v>73700</v>
      </c>
      <c r="F72" s="41">
        <f t="shared" si="3"/>
        <v>73700</v>
      </c>
      <c r="G72" s="28">
        <f>50600+2700</f>
        <v>53300</v>
      </c>
      <c r="H72" s="28">
        <f>78900-78900</f>
        <v>0</v>
      </c>
    </row>
    <row r="73" spans="1:8" ht="12.75" customHeight="1">
      <c r="A73" s="37" t="s">
        <v>208</v>
      </c>
      <c r="B73" s="217" t="s">
        <v>73</v>
      </c>
      <c r="C73" s="18" t="s">
        <v>18</v>
      </c>
      <c r="D73" s="38"/>
      <c r="E73" s="28">
        <f>SUM(E74:E79)</f>
        <v>345700</v>
      </c>
      <c r="F73" s="28">
        <f>SUM(F74:F79)</f>
        <v>345700</v>
      </c>
      <c r="G73" s="28">
        <f>SUM(G74:G79)</f>
        <v>0</v>
      </c>
      <c r="H73" s="28">
        <f>SUM(H74:H79)</f>
        <v>0</v>
      </c>
    </row>
    <row r="74" spans="1:8" ht="12.75" customHeight="1">
      <c r="A74" s="37" t="s">
        <v>209</v>
      </c>
      <c r="B74" s="219"/>
      <c r="C74" s="57" t="s">
        <v>273</v>
      </c>
      <c r="D74" s="53" t="s">
        <v>10</v>
      </c>
      <c r="E74" s="58">
        <f>5000-700</f>
        <v>4300</v>
      </c>
      <c r="F74" s="94">
        <f t="shared" ref="F74:F79" si="4">E74-H74</f>
        <v>4300</v>
      </c>
      <c r="G74" s="58"/>
      <c r="H74" s="58"/>
    </row>
    <row r="75" spans="1:8" ht="51">
      <c r="A75" s="37" t="s">
        <v>210</v>
      </c>
      <c r="B75" s="219"/>
      <c r="C75" s="89" t="s">
        <v>274</v>
      </c>
      <c r="D75" s="84" t="s">
        <v>76</v>
      </c>
      <c r="E75" s="99">
        <f>310000+3500</f>
        <v>313500</v>
      </c>
      <c r="F75" s="197">
        <f t="shared" si="4"/>
        <v>313500</v>
      </c>
      <c r="G75" s="99"/>
      <c r="H75" s="99"/>
    </row>
    <row r="76" spans="1:8">
      <c r="A76" s="37" t="s">
        <v>211</v>
      </c>
      <c r="B76" s="219"/>
      <c r="C76" s="57" t="s">
        <v>121</v>
      </c>
      <c r="D76" s="53" t="s">
        <v>75</v>
      </c>
      <c r="E76" s="58">
        <v>16000</v>
      </c>
      <c r="F76" s="94">
        <f t="shared" si="4"/>
        <v>16000</v>
      </c>
      <c r="G76" s="58"/>
      <c r="H76" s="58"/>
    </row>
    <row r="77" spans="1:8" ht="12.75" customHeight="1">
      <c r="A77" s="37" t="s">
        <v>212</v>
      </c>
      <c r="B77" s="219"/>
      <c r="C77" s="57" t="s">
        <v>275</v>
      </c>
      <c r="D77" s="53" t="s">
        <v>75</v>
      </c>
      <c r="E77" s="58">
        <f>20000-5600-9900-600</f>
        <v>3900</v>
      </c>
      <c r="F77" s="94">
        <f t="shared" si="4"/>
        <v>3900</v>
      </c>
      <c r="G77" s="58"/>
      <c r="H77" s="58"/>
    </row>
    <row r="78" spans="1:8" ht="12.75" customHeight="1">
      <c r="A78" s="37" t="s">
        <v>213</v>
      </c>
      <c r="B78" s="219"/>
      <c r="C78" s="57" t="s">
        <v>120</v>
      </c>
      <c r="D78" s="53" t="s">
        <v>75</v>
      </c>
      <c r="E78" s="58">
        <v>2000</v>
      </c>
      <c r="F78" s="94">
        <f t="shared" si="4"/>
        <v>2000</v>
      </c>
      <c r="G78" s="58"/>
      <c r="H78" s="58"/>
    </row>
    <row r="79" spans="1:8">
      <c r="A79" s="37" t="s">
        <v>214</v>
      </c>
      <c r="B79" s="219"/>
      <c r="C79" s="57" t="s">
        <v>276</v>
      </c>
      <c r="D79" s="53" t="s">
        <v>75</v>
      </c>
      <c r="E79" s="58">
        <v>6000</v>
      </c>
      <c r="F79" s="94">
        <f t="shared" si="4"/>
        <v>6000</v>
      </c>
      <c r="G79" s="58"/>
      <c r="H79" s="58"/>
    </row>
    <row r="80" spans="1:8" ht="38.25">
      <c r="A80" s="37" t="s">
        <v>215</v>
      </c>
      <c r="B80" s="62" t="s">
        <v>19</v>
      </c>
      <c r="C80" s="22" t="s">
        <v>20</v>
      </c>
      <c r="D80" s="45"/>
      <c r="E80" s="83">
        <f>SUM(E81+E90+E91+E92)</f>
        <v>3225000</v>
      </c>
      <c r="F80" s="83">
        <f>SUM(F81+F90+F91+F92)</f>
        <v>2887400</v>
      </c>
      <c r="G80" s="83">
        <f>SUM(G81+G90+G91+G92)</f>
        <v>2010300</v>
      </c>
      <c r="H80" s="83">
        <f>SUM(H81+H90+H91+H92)</f>
        <v>337600</v>
      </c>
    </row>
    <row r="81" spans="1:8" ht="12.75" customHeight="1">
      <c r="A81" s="37" t="s">
        <v>216</v>
      </c>
      <c r="B81" s="217" t="s">
        <v>26</v>
      </c>
      <c r="C81" s="9" t="s">
        <v>69</v>
      </c>
      <c r="D81" s="45"/>
      <c r="E81" s="28">
        <f>SUM(E82:E89)</f>
        <v>2709000</v>
      </c>
      <c r="F81" s="28">
        <f>SUM(F82:F89)</f>
        <v>2682000</v>
      </c>
      <c r="G81" s="28">
        <f>SUM(G82:G89)</f>
        <v>1920200</v>
      </c>
      <c r="H81" s="28">
        <f>SUM(H82:H89)</f>
        <v>27000</v>
      </c>
    </row>
    <row r="82" spans="1:8" ht="12.75" customHeight="1">
      <c r="A82" s="37" t="s">
        <v>217</v>
      </c>
      <c r="B82" s="219"/>
      <c r="C82" s="55" t="s">
        <v>254</v>
      </c>
      <c r="D82" s="59" t="s">
        <v>10</v>
      </c>
      <c r="E82" s="54">
        <f>316500+3000</f>
        <v>319500</v>
      </c>
      <c r="F82" s="94">
        <f t="shared" ref="F82:F92" si="5">E82-H82</f>
        <v>317500</v>
      </c>
      <c r="G82" s="61">
        <v>144200</v>
      </c>
      <c r="H82" s="61">
        <v>2000</v>
      </c>
    </row>
    <row r="83" spans="1:8" ht="25.5">
      <c r="A83" s="37" t="s">
        <v>218</v>
      </c>
      <c r="B83" s="219"/>
      <c r="C83" s="55" t="s">
        <v>18</v>
      </c>
      <c r="D83" s="53" t="s">
        <v>10</v>
      </c>
      <c r="E83" s="58">
        <f>2173400+10000</f>
        <v>2183400</v>
      </c>
      <c r="F83" s="98">
        <f t="shared" si="5"/>
        <v>2158400</v>
      </c>
      <c r="G83" s="85">
        <v>1776000</v>
      </c>
      <c r="H83" s="85">
        <v>25000</v>
      </c>
    </row>
    <row r="84" spans="1:8" ht="25.5">
      <c r="A84" s="37" t="s">
        <v>219</v>
      </c>
      <c r="B84" s="219"/>
      <c r="C84" s="55" t="s">
        <v>129</v>
      </c>
      <c r="D84" s="53" t="s">
        <v>54</v>
      </c>
      <c r="E84" s="58">
        <v>3000</v>
      </c>
      <c r="F84" s="98">
        <f t="shared" si="5"/>
        <v>3000</v>
      </c>
      <c r="G84" s="28"/>
      <c r="H84" s="28"/>
    </row>
    <row r="85" spans="1:8">
      <c r="A85" s="37" t="s">
        <v>220</v>
      </c>
      <c r="B85" s="219"/>
      <c r="C85" s="9" t="s">
        <v>130</v>
      </c>
      <c r="D85" s="59" t="s">
        <v>10</v>
      </c>
      <c r="E85" s="58">
        <f>11200-5000+900</f>
        <v>7100</v>
      </c>
      <c r="F85" s="98">
        <f t="shared" si="5"/>
        <v>7100</v>
      </c>
      <c r="G85" s="28"/>
      <c r="H85" s="28"/>
    </row>
    <row r="86" spans="1:8">
      <c r="A86" s="37" t="s">
        <v>221</v>
      </c>
      <c r="B86" s="219"/>
      <c r="C86" s="55" t="s">
        <v>303</v>
      </c>
      <c r="D86" s="59" t="s">
        <v>10</v>
      </c>
      <c r="E86" s="58">
        <v>5000</v>
      </c>
      <c r="F86" s="98">
        <f t="shared" si="5"/>
        <v>5000</v>
      </c>
      <c r="G86" s="28"/>
      <c r="H86" s="28"/>
    </row>
    <row r="87" spans="1:8" ht="12.75" customHeight="1">
      <c r="A87" s="37" t="s">
        <v>222</v>
      </c>
      <c r="B87" s="219"/>
      <c r="C87" s="55" t="s">
        <v>277</v>
      </c>
      <c r="D87" s="53" t="s">
        <v>10</v>
      </c>
      <c r="E87" s="58">
        <v>20000</v>
      </c>
      <c r="F87" s="98">
        <f t="shared" si="5"/>
        <v>20000</v>
      </c>
      <c r="G87" s="61"/>
      <c r="H87" s="61"/>
    </row>
    <row r="88" spans="1:8" ht="12.75" customHeight="1">
      <c r="A88" s="37" t="s">
        <v>223</v>
      </c>
      <c r="B88" s="219"/>
      <c r="C88" s="55" t="s">
        <v>414</v>
      </c>
      <c r="D88" s="53" t="s">
        <v>19</v>
      </c>
      <c r="E88" s="58">
        <v>1000</v>
      </c>
      <c r="F88" s="98">
        <f t="shared" si="5"/>
        <v>1000</v>
      </c>
      <c r="G88" s="61"/>
      <c r="H88" s="61"/>
    </row>
    <row r="89" spans="1:8">
      <c r="A89" s="37" t="s">
        <v>224</v>
      </c>
      <c r="B89" s="219"/>
      <c r="C89" s="55" t="s">
        <v>278</v>
      </c>
      <c r="D89" s="53" t="s">
        <v>10</v>
      </c>
      <c r="E89" s="58">
        <f>180000-10000</f>
        <v>170000</v>
      </c>
      <c r="F89" s="98">
        <f t="shared" si="5"/>
        <v>170000</v>
      </c>
      <c r="G89" s="85"/>
      <c r="H89" s="85"/>
    </row>
    <row r="90" spans="1:8" ht="12.75" customHeight="1">
      <c r="A90" s="37" t="s">
        <v>225</v>
      </c>
      <c r="B90" s="40" t="s">
        <v>27</v>
      </c>
      <c r="C90" s="9" t="s">
        <v>233</v>
      </c>
      <c r="D90" s="38" t="s">
        <v>10</v>
      </c>
      <c r="E90" s="25">
        <v>83400</v>
      </c>
      <c r="F90" s="41">
        <f t="shared" si="5"/>
        <v>83400</v>
      </c>
      <c r="G90" s="28">
        <v>79000</v>
      </c>
      <c r="H90" s="85"/>
    </row>
    <row r="91" spans="1:8" ht="25.5" customHeight="1">
      <c r="A91" s="37" t="s">
        <v>226</v>
      </c>
      <c r="B91" s="36" t="s">
        <v>67</v>
      </c>
      <c r="C91" s="9" t="s">
        <v>234</v>
      </c>
      <c r="D91" s="38" t="s">
        <v>10</v>
      </c>
      <c r="E91" s="25">
        <f>374600-1500</f>
        <v>373100</v>
      </c>
      <c r="F91" s="41">
        <f t="shared" si="5"/>
        <v>62500</v>
      </c>
      <c r="G91" s="29"/>
      <c r="H91" s="25">
        <v>310600</v>
      </c>
    </row>
    <row r="92" spans="1:8" ht="12.75" customHeight="1">
      <c r="A92" s="37" t="s">
        <v>227</v>
      </c>
      <c r="B92" s="36" t="s">
        <v>68</v>
      </c>
      <c r="C92" s="60" t="s">
        <v>21</v>
      </c>
      <c r="D92" s="38" t="s">
        <v>54</v>
      </c>
      <c r="E92" s="25">
        <v>59500</v>
      </c>
      <c r="F92" s="20">
        <f t="shared" si="5"/>
        <v>59500</v>
      </c>
      <c r="G92" s="28">
        <f>7800+3300</f>
        <v>11100</v>
      </c>
      <c r="H92" s="25"/>
    </row>
    <row r="93" spans="1:8" ht="24.75" customHeight="1">
      <c r="A93" s="37" t="s">
        <v>240</v>
      </c>
      <c r="B93" s="31" t="s">
        <v>22</v>
      </c>
      <c r="C93" s="49" t="s">
        <v>112</v>
      </c>
      <c r="D93" s="30"/>
      <c r="E93" s="30">
        <f>SUM(E94)</f>
        <v>1054500</v>
      </c>
      <c r="F93" s="30">
        <f>SUM(F94)</f>
        <v>1050900</v>
      </c>
      <c r="G93" s="30">
        <f>SUM(G94)</f>
        <v>0</v>
      </c>
      <c r="H93" s="30">
        <f>SUM(H94)</f>
        <v>3600</v>
      </c>
    </row>
    <row r="94" spans="1:8" ht="12.75" customHeight="1">
      <c r="A94" s="37" t="s">
        <v>228</v>
      </c>
      <c r="B94" s="217" t="s">
        <v>28</v>
      </c>
      <c r="C94" s="9" t="s">
        <v>69</v>
      </c>
      <c r="D94" s="45"/>
      <c r="E94" s="25">
        <f>SUM(E95:E98)</f>
        <v>1054500</v>
      </c>
      <c r="F94" s="41">
        <f>E94-H94</f>
        <v>1050900</v>
      </c>
      <c r="G94" s="25">
        <f>SUM(G95:G98)</f>
        <v>0</v>
      </c>
      <c r="H94" s="25">
        <f>SUM(H95:H98)</f>
        <v>3600</v>
      </c>
    </row>
    <row r="95" spans="1:8" ht="12.75" customHeight="1">
      <c r="A95" s="37" t="s">
        <v>241</v>
      </c>
      <c r="B95" s="219"/>
      <c r="C95" s="55" t="s">
        <v>279</v>
      </c>
      <c r="D95" s="53" t="s">
        <v>22</v>
      </c>
      <c r="E95" s="58">
        <f>114000+51800-19000</f>
        <v>146800</v>
      </c>
      <c r="F95" s="98">
        <f>E95-H95</f>
        <v>143200</v>
      </c>
      <c r="G95" s="25"/>
      <c r="H95" s="25">
        <v>3600</v>
      </c>
    </row>
    <row r="96" spans="1:8" ht="25.5">
      <c r="A96" s="37" t="s">
        <v>250</v>
      </c>
      <c r="B96" s="219"/>
      <c r="C96" s="55" t="s">
        <v>280</v>
      </c>
      <c r="D96" s="53" t="s">
        <v>22</v>
      </c>
      <c r="E96" s="58">
        <f>800000+40700</f>
        <v>840700</v>
      </c>
      <c r="F96" s="98">
        <f>E96-H96</f>
        <v>840700</v>
      </c>
      <c r="G96" s="25"/>
      <c r="H96" s="29"/>
    </row>
    <row r="97" spans="1:12">
      <c r="A97" s="37" t="s">
        <v>251</v>
      </c>
      <c r="B97" s="219"/>
      <c r="C97" s="55" t="s">
        <v>370</v>
      </c>
      <c r="D97" s="53" t="s">
        <v>22</v>
      </c>
      <c r="E97" s="58">
        <f>40000+10000-6000-3100</f>
        <v>40900</v>
      </c>
      <c r="F97" s="98">
        <f>E97-H97</f>
        <v>40900</v>
      </c>
      <c r="G97" s="25"/>
      <c r="H97" s="26"/>
    </row>
    <row r="98" spans="1:12" ht="25.5">
      <c r="A98" s="37" t="s">
        <v>252</v>
      </c>
      <c r="B98" s="219"/>
      <c r="C98" s="55" t="s">
        <v>128</v>
      </c>
      <c r="D98" s="53" t="s">
        <v>22</v>
      </c>
      <c r="E98" s="58">
        <f>30000-3900</f>
        <v>26100</v>
      </c>
      <c r="F98" s="98">
        <f>E98-H98</f>
        <v>26100</v>
      </c>
      <c r="G98" s="25"/>
      <c r="H98" s="26"/>
      <c r="L98" s="47"/>
    </row>
    <row r="99" spans="1:12" ht="25.5">
      <c r="A99" s="37" t="s">
        <v>281</v>
      </c>
      <c r="B99" s="62" t="s">
        <v>76</v>
      </c>
      <c r="C99" s="22" t="s">
        <v>235</v>
      </c>
      <c r="D99" s="64"/>
      <c r="E99" s="63">
        <f>SUM(E100)</f>
        <v>1475800</v>
      </c>
      <c r="F99" s="63">
        <f>SUM(F100)</f>
        <v>1025400</v>
      </c>
      <c r="G99" s="63">
        <f>SUM(G100)</f>
        <v>99400</v>
      </c>
      <c r="H99" s="63">
        <f>SUM(H100)</f>
        <v>450400</v>
      </c>
    </row>
    <row r="100" spans="1:12" ht="12.75" customHeight="1">
      <c r="A100" s="37" t="s">
        <v>282</v>
      </c>
      <c r="B100" s="217" t="s">
        <v>81</v>
      </c>
      <c r="C100" s="9" t="s">
        <v>69</v>
      </c>
      <c r="D100" s="65"/>
      <c r="E100" s="25">
        <f>SUM(E101:E107)</f>
        <v>1475800</v>
      </c>
      <c r="F100" s="25">
        <f>SUM(F101:F107)</f>
        <v>1025400</v>
      </c>
      <c r="G100" s="25">
        <f>SUM(G101:G107)</f>
        <v>99400</v>
      </c>
      <c r="H100" s="25">
        <f>SUM(H101:H107)</f>
        <v>450400</v>
      </c>
    </row>
    <row r="101" spans="1:12">
      <c r="A101" s="37" t="s">
        <v>283</v>
      </c>
      <c r="B101" s="219"/>
      <c r="C101" s="55" t="s">
        <v>122</v>
      </c>
      <c r="D101" s="84" t="s">
        <v>10</v>
      </c>
      <c r="E101" s="126">
        <v>35000</v>
      </c>
      <c r="F101" s="98">
        <f t="shared" ref="F101:F111" si="6">E101-H101</f>
        <v>35000</v>
      </c>
      <c r="G101" s="85"/>
      <c r="H101" s="86"/>
    </row>
    <row r="102" spans="1:12">
      <c r="A102" s="37" t="s">
        <v>284</v>
      </c>
      <c r="B102" s="219"/>
      <c r="C102" s="55" t="s">
        <v>127</v>
      </c>
      <c r="D102" s="97" t="s">
        <v>10</v>
      </c>
      <c r="E102" s="127">
        <f>53000+8000-1000-9000</f>
        <v>51000</v>
      </c>
      <c r="F102" s="94">
        <f t="shared" si="6"/>
        <v>31600</v>
      </c>
      <c r="G102" s="61"/>
      <c r="H102" s="61">
        <f>28400-9000</f>
        <v>19400</v>
      </c>
    </row>
    <row r="103" spans="1:12" ht="25.5">
      <c r="A103" s="37" t="s">
        <v>285</v>
      </c>
      <c r="B103" s="219"/>
      <c r="C103" s="55" t="s">
        <v>369</v>
      </c>
      <c r="D103" s="84" t="s">
        <v>10</v>
      </c>
      <c r="E103" s="126">
        <f>387500-43500-10000-57300-700-18700-3500</f>
        <v>253800</v>
      </c>
      <c r="F103" s="98">
        <f t="shared" si="6"/>
        <v>155600</v>
      </c>
      <c r="G103" s="61"/>
      <c r="H103" s="85">
        <f>115000-16800</f>
        <v>98200</v>
      </c>
    </row>
    <row r="104" spans="1:12">
      <c r="A104" s="37" t="s">
        <v>286</v>
      </c>
      <c r="B104" s="219"/>
      <c r="C104" s="55" t="s">
        <v>287</v>
      </c>
      <c r="D104" s="84" t="s">
        <v>76</v>
      </c>
      <c r="E104" s="58">
        <v>6300</v>
      </c>
      <c r="F104" s="98">
        <f t="shared" si="6"/>
        <v>6000</v>
      </c>
      <c r="G104" s="61"/>
      <c r="H104" s="61">
        <f>0+300</f>
        <v>300</v>
      </c>
    </row>
    <row r="105" spans="1:12" ht="12.75" customHeight="1">
      <c r="A105" s="37" t="s">
        <v>375</v>
      </c>
      <c r="B105" s="219"/>
      <c r="C105" s="55" t="s">
        <v>123</v>
      </c>
      <c r="D105" s="84" t="s">
        <v>76</v>
      </c>
      <c r="E105" s="58">
        <f>56000+49700+300</f>
        <v>106000</v>
      </c>
      <c r="F105" s="98">
        <f t="shared" si="6"/>
        <v>44000</v>
      </c>
      <c r="G105" s="61"/>
      <c r="H105" s="85">
        <f>49700+12000+300</f>
        <v>62000</v>
      </c>
    </row>
    <row r="106" spans="1:12" ht="25.5" customHeight="1">
      <c r="A106" s="37" t="s">
        <v>288</v>
      </c>
      <c r="B106" s="219"/>
      <c r="C106" s="55" t="s">
        <v>388</v>
      </c>
      <c r="D106" s="84" t="s">
        <v>76</v>
      </c>
      <c r="E106" s="58">
        <f>180000+4700</f>
        <v>184700</v>
      </c>
      <c r="F106" s="98">
        <f t="shared" si="6"/>
        <v>83700</v>
      </c>
      <c r="G106" s="61"/>
      <c r="H106" s="85">
        <f>155000-54000</f>
        <v>101000</v>
      </c>
    </row>
    <row r="107" spans="1:12" ht="25.5">
      <c r="A107" s="37" t="s">
        <v>290</v>
      </c>
      <c r="B107" s="219"/>
      <c r="C107" s="55" t="s">
        <v>289</v>
      </c>
      <c r="D107" s="84" t="s">
        <v>76</v>
      </c>
      <c r="E107" s="58">
        <f>870000-6000-25000</f>
        <v>839000</v>
      </c>
      <c r="F107" s="98">
        <f t="shared" si="6"/>
        <v>669500</v>
      </c>
      <c r="G107" s="85">
        <v>99400</v>
      </c>
      <c r="H107" s="85">
        <f>222500-6000-25000-22000</f>
        <v>169500</v>
      </c>
    </row>
    <row r="108" spans="1:12">
      <c r="A108" s="37" t="s">
        <v>374</v>
      </c>
      <c r="B108" s="62" t="s">
        <v>77</v>
      </c>
      <c r="C108" s="22" t="s">
        <v>79</v>
      </c>
      <c r="D108" s="64"/>
      <c r="E108" s="63">
        <f>SUM(E109:E111)</f>
        <v>1027900</v>
      </c>
      <c r="F108" s="63">
        <f>SUM(F109:F111)</f>
        <v>90800</v>
      </c>
      <c r="G108" s="63">
        <f>SUM(G109:G111)</f>
        <v>2300</v>
      </c>
      <c r="H108" s="63">
        <f>SUM(H109:H111)</f>
        <v>937100</v>
      </c>
    </row>
    <row r="109" spans="1:12">
      <c r="A109" s="37" t="s">
        <v>409</v>
      </c>
      <c r="B109" s="40" t="s">
        <v>80</v>
      </c>
      <c r="C109" s="9" t="s">
        <v>232</v>
      </c>
      <c r="D109" s="65" t="s">
        <v>75</v>
      </c>
      <c r="E109" s="21">
        <v>38800</v>
      </c>
      <c r="F109" s="41">
        <f t="shared" si="6"/>
        <v>2200</v>
      </c>
      <c r="G109" s="210"/>
      <c r="H109" s="211">
        <v>36600</v>
      </c>
    </row>
    <row r="110" spans="1:12">
      <c r="A110" s="37" t="s">
        <v>410</v>
      </c>
      <c r="B110" s="40" t="s">
        <v>411</v>
      </c>
      <c r="C110" s="9" t="s">
        <v>57</v>
      </c>
      <c r="D110" s="65" t="s">
        <v>75</v>
      </c>
      <c r="E110" s="21">
        <v>78900</v>
      </c>
      <c r="F110" s="41">
        <f t="shared" si="6"/>
        <v>0</v>
      </c>
      <c r="G110" s="210"/>
      <c r="H110" s="211">
        <v>78900</v>
      </c>
    </row>
    <row r="111" spans="1:12">
      <c r="A111" s="7" t="s">
        <v>413</v>
      </c>
      <c r="B111" s="40" t="s">
        <v>412</v>
      </c>
      <c r="C111" s="9" t="s">
        <v>78</v>
      </c>
      <c r="D111" s="65" t="s">
        <v>10</v>
      </c>
      <c r="E111" s="21">
        <f>500000+57400+1500+89900+136100+110800+7800+6700</f>
        <v>910200</v>
      </c>
      <c r="F111" s="41">
        <f t="shared" si="6"/>
        <v>88600</v>
      </c>
      <c r="G111" s="128">
        <f>2100+100+100</f>
        <v>2300</v>
      </c>
      <c r="H111" s="129">
        <f>450000+53800+1500+2500+89900+103500+110000+4100+6300</f>
        <v>821600</v>
      </c>
    </row>
    <row r="112" spans="1:12">
      <c r="A112" s="7" t="s">
        <v>417</v>
      </c>
      <c r="B112" s="13"/>
      <c r="C112" s="109" t="s">
        <v>133</v>
      </c>
      <c r="D112" s="15"/>
      <c r="E112" s="27">
        <f>E108+E99+E93+E80+E65+E45+E18</f>
        <v>16219700</v>
      </c>
      <c r="F112" s="27">
        <f>F108+F99+F93+F80+F65+F45+F18</f>
        <v>14302400</v>
      </c>
      <c r="G112" s="27">
        <f>G108+G99+G80+G65+G45+G18</f>
        <v>7794700</v>
      </c>
      <c r="H112" s="27">
        <f>H108+H99+H93+H80+H65+H45+H18</f>
        <v>1917300</v>
      </c>
    </row>
    <row r="113" spans="1:8">
      <c r="A113" s="70"/>
      <c r="B113" s="71"/>
      <c r="C113" s="72"/>
      <c r="D113" s="73"/>
      <c r="E113" s="74"/>
      <c r="F113" s="74"/>
      <c r="G113" s="74"/>
      <c r="H113" s="74"/>
    </row>
    <row r="114" spans="1:8">
      <c r="A114" s="239" t="s">
        <v>49</v>
      </c>
      <c r="B114" s="239"/>
      <c r="C114" s="239"/>
      <c r="D114" s="239"/>
      <c r="E114" s="239"/>
      <c r="F114" s="239"/>
      <c r="G114" s="239"/>
      <c r="H114" s="239"/>
    </row>
    <row r="117" spans="1:8">
      <c r="E117" t="s">
        <v>239</v>
      </c>
    </row>
  </sheetData>
  <mergeCells count="23">
    <mergeCell ref="A114:H114"/>
    <mergeCell ref="B39:B44"/>
    <mergeCell ref="B50:B64"/>
    <mergeCell ref="B73:B79"/>
    <mergeCell ref="B81:B89"/>
    <mergeCell ref="B100:B107"/>
    <mergeCell ref="B94:B98"/>
    <mergeCell ref="F1:H1"/>
    <mergeCell ref="F3:H3"/>
    <mergeCell ref="A8:H10"/>
    <mergeCell ref="F14:H14"/>
    <mergeCell ref="F2:H2"/>
    <mergeCell ref="F4:H4"/>
    <mergeCell ref="F6:H6"/>
    <mergeCell ref="F7:H7"/>
    <mergeCell ref="H15:H16"/>
    <mergeCell ref="C13:C16"/>
    <mergeCell ref="F15:G15"/>
    <mergeCell ref="E13:H13"/>
    <mergeCell ref="E14:E16"/>
    <mergeCell ref="A13:A16"/>
    <mergeCell ref="D13:D16"/>
    <mergeCell ref="B13:B16"/>
  </mergeCells>
  <phoneticPr fontId="5" type="noConversion"/>
  <pageMargins left="0.78740157480314965" right="0.19685039370078741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4"/>
  <sheetViews>
    <sheetView zoomScale="135" zoomScaleNormal="135" workbookViewId="0">
      <selection activeCell="I15" sqref="I15"/>
    </sheetView>
  </sheetViews>
  <sheetFormatPr defaultRowHeight="12.75"/>
  <cols>
    <col min="1" max="1" width="4" customWidth="1"/>
    <col min="2" max="2" width="10.140625" customWidth="1"/>
    <col min="3" max="3" width="30.28515625" customWidth="1"/>
    <col min="4" max="4" width="8.85546875" customWidth="1"/>
    <col min="5" max="6" width="8.42578125" customWidth="1"/>
    <col min="7" max="7" width="10.7109375" customWidth="1"/>
    <col min="8" max="8" width="10.140625" customWidth="1"/>
  </cols>
  <sheetData>
    <row r="1" spans="1:9" ht="14.1" customHeight="1">
      <c r="A1" s="3"/>
      <c r="B1" s="3"/>
      <c r="C1" s="3"/>
      <c r="D1" s="35"/>
      <c r="E1" s="35"/>
      <c r="F1" s="223" t="s">
        <v>7</v>
      </c>
      <c r="G1" s="223"/>
      <c r="H1" s="223"/>
    </row>
    <row r="2" spans="1:9" ht="14.1" customHeight="1">
      <c r="A2" s="3"/>
      <c r="B2" s="3"/>
      <c r="C2" s="3"/>
      <c r="D2" s="34"/>
      <c r="E2" s="35"/>
      <c r="F2" s="223" t="s">
        <v>377</v>
      </c>
      <c r="G2" s="223"/>
      <c r="H2" s="223"/>
      <c r="I2" s="35"/>
    </row>
    <row r="3" spans="1:9" ht="14.1" customHeight="1">
      <c r="A3" s="1"/>
      <c r="B3" s="2"/>
      <c r="C3" s="3"/>
      <c r="D3" s="35"/>
      <c r="E3" s="35"/>
      <c r="F3" s="223" t="s">
        <v>406</v>
      </c>
      <c r="G3" s="223"/>
      <c r="H3" s="223"/>
    </row>
    <row r="4" spans="1:9" ht="15" customHeight="1">
      <c r="A4" s="1"/>
      <c r="B4" s="2"/>
      <c r="C4" s="16"/>
      <c r="D4" s="16"/>
      <c r="E4" s="16"/>
      <c r="F4" s="224" t="s">
        <v>137</v>
      </c>
      <c r="G4" s="224"/>
      <c r="H4" s="224"/>
    </row>
    <row r="5" spans="1:9" ht="15" customHeight="1">
      <c r="A5" s="1"/>
      <c r="B5" s="2"/>
      <c r="C5" s="16"/>
      <c r="D5" s="16"/>
      <c r="E5" s="16"/>
      <c r="F5" s="16" t="s">
        <v>404</v>
      </c>
      <c r="G5" s="16"/>
      <c r="H5" s="16"/>
    </row>
    <row r="6" spans="1:9" ht="15" customHeight="1">
      <c r="A6" s="1"/>
      <c r="B6" s="2"/>
      <c r="C6" s="16"/>
      <c r="D6" s="16"/>
      <c r="E6" s="16"/>
      <c r="F6" s="224" t="s">
        <v>415</v>
      </c>
      <c r="G6" s="224"/>
      <c r="H6" s="224"/>
    </row>
    <row r="7" spans="1:9" ht="15" customHeight="1">
      <c r="A7" s="1"/>
      <c r="B7" s="2"/>
      <c r="C7" s="16"/>
      <c r="D7" s="16"/>
      <c r="E7" s="16"/>
      <c r="F7" s="280" t="s">
        <v>418</v>
      </c>
      <c r="G7" s="280"/>
      <c r="H7" s="280"/>
    </row>
    <row r="8" spans="1:9">
      <c r="A8" s="1"/>
      <c r="B8" s="2"/>
      <c r="C8" s="3"/>
      <c r="D8" s="43"/>
      <c r="E8" s="16"/>
      <c r="F8" s="16"/>
      <c r="G8" s="16"/>
      <c r="H8" s="16"/>
    </row>
    <row r="9" spans="1:9" ht="12.75" customHeight="1">
      <c r="A9" s="232" t="s">
        <v>378</v>
      </c>
      <c r="B9" s="232"/>
      <c r="C9" s="232"/>
      <c r="D9" s="232"/>
      <c r="E9" s="232"/>
      <c r="F9" s="232"/>
      <c r="G9" s="232"/>
      <c r="H9" s="232"/>
      <c r="I9" s="48"/>
    </row>
    <row r="10" spans="1:9" ht="12.75" customHeight="1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1"/>
      <c r="B11" s="2"/>
      <c r="C11" s="3"/>
      <c r="D11" s="43"/>
      <c r="E11" s="111"/>
      <c r="F11" s="111"/>
      <c r="G11" s="111"/>
      <c r="H11" s="110" t="s">
        <v>260</v>
      </c>
    </row>
    <row r="12" spans="1:9" ht="12.75" customHeight="1">
      <c r="A12" s="225" t="s">
        <v>0</v>
      </c>
      <c r="B12" s="228" t="s">
        <v>1</v>
      </c>
      <c r="C12" s="225" t="s">
        <v>50</v>
      </c>
      <c r="D12" s="220" t="s">
        <v>2</v>
      </c>
      <c r="E12" s="233" t="s">
        <v>65</v>
      </c>
      <c r="F12" s="234"/>
      <c r="G12" s="234"/>
      <c r="H12" s="235"/>
    </row>
    <row r="13" spans="1:9">
      <c r="A13" s="226"/>
      <c r="B13" s="229"/>
      <c r="C13" s="226"/>
      <c r="D13" s="221"/>
      <c r="E13" s="225" t="s">
        <v>3</v>
      </c>
      <c r="F13" s="268" t="s">
        <v>4</v>
      </c>
      <c r="G13" s="268"/>
      <c r="H13" s="269"/>
    </row>
    <row r="14" spans="1:9" ht="12.75" customHeight="1">
      <c r="A14" s="226"/>
      <c r="B14" s="229"/>
      <c r="C14" s="226"/>
      <c r="D14" s="221"/>
      <c r="E14" s="226"/>
      <c r="F14" s="267" t="s">
        <v>124</v>
      </c>
      <c r="G14" s="267"/>
      <c r="H14" s="225" t="s">
        <v>51</v>
      </c>
    </row>
    <row r="15" spans="1:9" ht="25.5" customHeight="1">
      <c r="A15" s="227"/>
      <c r="B15" s="230"/>
      <c r="C15" s="227"/>
      <c r="D15" s="222"/>
      <c r="E15" s="227"/>
      <c r="F15" s="91" t="s">
        <v>125</v>
      </c>
      <c r="G15" s="93" t="s">
        <v>8</v>
      </c>
      <c r="H15" s="227"/>
    </row>
    <row r="16" spans="1:9">
      <c r="A16" s="5">
        <v>1</v>
      </c>
      <c r="B16" s="6" t="s">
        <v>5</v>
      </c>
      <c r="C16" s="4">
        <v>3</v>
      </c>
      <c r="D16" s="6" t="s">
        <v>6</v>
      </c>
      <c r="E16" s="4">
        <v>5</v>
      </c>
      <c r="F16" s="4">
        <v>6</v>
      </c>
      <c r="G16" s="4">
        <v>7</v>
      </c>
      <c r="H16" s="4">
        <v>8</v>
      </c>
    </row>
    <row r="17" spans="1:8" ht="27" customHeight="1">
      <c r="A17" s="37" t="s">
        <v>84</v>
      </c>
      <c r="B17" s="87" t="s">
        <v>10</v>
      </c>
      <c r="C17" s="17" t="s">
        <v>11</v>
      </c>
      <c r="D17" s="12"/>
      <c r="E17" s="82">
        <f>SUM(E18:E19)</f>
        <v>103100</v>
      </c>
      <c r="F17" s="82">
        <f>SUM(F18:F19)</f>
        <v>103100</v>
      </c>
      <c r="G17" s="82">
        <f>SUM(G18:G19)</f>
        <v>2600</v>
      </c>
      <c r="H17" s="82">
        <f>SUM(H18:H19)</f>
        <v>0</v>
      </c>
    </row>
    <row r="18" spans="1:8" ht="26.25" customHeight="1">
      <c r="A18" s="37" t="s">
        <v>85</v>
      </c>
      <c r="B18" s="42" t="s">
        <v>29</v>
      </c>
      <c r="C18" s="115" t="s">
        <v>18</v>
      </c>
      <c r="D18" s="42" t="s">
        <v>71</v>
      </c>
      <c r="E18" s="41">
        <f>92600+10200</f>
        <v>102800</v>
      </c>
      <c r="F18" s="41">
        <f>E18-H18</f>
        <v>102800</v>
      </c>
      <c r="G18" s="41">
        <v>2600</v>
      </c>
      <c r="H18" s="41"/>
    </row>
    <row r="19" spans="1:8" ht="24.75" customHeight="1">
      <c r="A19" s="37" t="s">
        <v>86</v>
      </c>
      <c r="B19" s="42" t="s">
        <v>30</v>
      </c>
      <c r="C19" s="18" t="s">
        <v>242</v>
      </c>
      <c r="D19" s="42" t="s">
        <v>71</v>
      </c>
      <c r="E19" s="41">
        <v>300</v>
      </c>
      <c r="F19" s="41">
        <v>300</v>
      </c>
      <c r="G19" s="41"/>
      <c r="H19" s="41"/>
    </row>
    <row r="20" spans="1:8" ht="12" customHeight="1">
      <c r="A20" s="37" t="s">
        <v>87</v>
      </c>
      <c r="B20" s="62" t="s">
        <v>77</v>
      </c>
      <c r="C20" s="22" t="s">
        <v>79</v>
      </c>
      <c r="D20" s="108"/>
      <c r="E20" s="82">
        <f>SUM(E21)</f>
        <v>3121500</v>
      </c>
      <c r="F20" s="82">
        <f>E20-H20</f>
        <v>405000</v>
      </c>
      <c r="G20" s="82">
        <f>G21</f>
        <v>12100</v>
      </c>
      <c r="H20" s="82">
        <f>H21</f>
        <v>2716500</v>
      </c>
    </row>
    <row r="21" spans="1:8" ht="12.75" customHeight="1">
      <c r="A21" s="37" t="s">
        <v>88</v>
      </c>
      <c r="B21" s="40" t="s">
        <v>80</v>
      </c>
      <c r="C21" s="9" t="s">
        <v>78</v>
      </c>
      <c r="D21" s="108"/>
      <c r="E21" s="41">
        <f>474300+963500+778100+426000+479600</f>
        <v>3121500</v>
      </c>
      <c r="F21" s="41">
        <f>E21-H21</f>
        <v>405000</v>
      </c>
      <c r="G21" s="41">
        <f>3200+2100+400+2900+3500</f>
        <v>12100</v>
      </c>
      <c r="H21" s="41">
        <f>414800+723100+668200+402400+508000</f>
        <v>2716500</v>
      </c>
    </row>
    <row r="22" spans="1:8">
      <c r="A22" s="7" t="s">
        <v>89</v>
      </c>
      <c r="B22" s="13"/>
      <c r="C22" s="14" t="s">
        <v>133</v>
      </c>
      <c r="D22" s="15"/>
      <c r="E22" s="27">
        <f>E17+E20</f>
        <v>3224600</v>
      </c>
      <c r="F22" s="27">
        <f>F17+F20</f>
        <v>508100</v>
      </c>
      <c r="G22" s="27">
        <f>G17+G20</f>
        <v>14700</v>
      </c>
      <c r="H22" s="27">
        <f>H17+H20</f>
        <v>2716500</v>
      </c>
    </row>
    <row r="23" spans="1:8">
      <c r="A23" s="70"/>
      <c r="B23" s="71"/>
      <c r="C23" s="72"/>
      <c r="D23" s="73"/>
      <c r="E23" s="74"/>
      <c r="F23" s="74"/>
      <c r="G23" s="74"/>
      <c r="H23" s="74"/>
    </row>
    <row r="24" spans="1:8">
      <c r="A24" s="239" t="s">
        <v>49</v>
      </c>
      <c r="B24" s="239"/>
      <c r="C24" s="239"/>
      <c r="D24" s="239"/>
      <c r="E24" s="239"/>
      <c r="F24" s="239"/>
      <c r="G24" s="239"/>
      <c r="H24" s="239"/>
    </row>
  </sheetData>
  <mergeCells count="17">
    <mergeCell ref="F7:H7"/>
    <mergeCell ref="D12:D15"/>
    <mergeCell ref="E12:H12"/>
    <mergeCell ref="E13:E15"/>
    <mergeCell ref="F13:H13"/>
    <mergeCell ref="F14:G14"/>
    <mergeCell ref="H14:H15"/>
    <mergeCell ref="A24:H24"/>
    <mergeCell ref="F1:H1"/>
    <mergeCell ref="F2:H2"/>
    <mergeCell ref="F3:H3"/>
    <mergeCell ref="F4:H4"/>
    <mergeCell ref="A9:H9"/>
    <mergeCell ref="F6:H6"/>
    <mergeCell ref="A12:A15"/>
    <mergeCell ref="B12:B15"/>
    <mergeCell ref="C12:C15"/>
  </mergeCells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34"/>
  <sheetViews>
    <sheetView topLeftCell="A4" zoomScale="135" zoomScaleNormal="135" workbookViewId="0">
      <selection activeCell="H11" sqref="H11"/>
    </sheetView>
  </sheetViews>
  <sheetFormatPr defaultRowHeight="12.75"/>
  <cols>
    <col min="1" max="1" width="4" customWidth="1"/>
    <col min="2" max="2" width="46.85546875" customWidth="1"/>
    <col min="3" max="3" width="10.140625" customWidth="1"/>
    <col min="4" max="4" width="10" customWidth="1"/>
    <col min="5" max="5" width="11" customWidth="1"/>
    <col min="6" max="6" width="10.140625" customWidth="1"/>
  </cols>
  <sheetData>
    <row r="1" spans="1:7" ht="14.1" customHeight="1">
      <c r="A1" s="3"/>
      <c r="B1" s="3"/>
      <c r="C1" s="35"/>
      <c r="D1" s="223" t="s">
        <v>7</v>
      </c>
      <c r="E1" s="223"/>
      <c r="F1" s="223"/>
    </row>
    <row r="2" spans="1:7" ht="14.1" customHeight="1">
      <c r="A2" s="3"/>
      <c r="B2" s="3"/>
      <c r="C2" s="35"/>
      <c r="D2" s="223" t="s">
        <v>377</v>
      </c>
      <c r="E2" s="223"/>
      <c r="F2" s="223"/>
      <c r="G2" s="35"/>
    </row>
    <row r="3" spans="1:7" ht="14.1" customHeight="1">
      <c r="A3" s="1"/>
      <c r="B3" s="3"/>
      <c r="C3" s="35"/>
      <c r="D3" s="223" t="s">
        <v>403</v>
      </c>
      <c r="E3" s="223"/>
      <c r="F3" s="223"/>
    </row>
    <row r="4" spans="1:7" ht="14.1" customHeight="1">
      <c r="A4" s="1"/>
      <c r="B4" s="3"/>
      <c r="C4" s="35"/>
      <c r="D4" s="224" t="s">
        <v>134</v>
      </c>
      <c r="E4" s="224"/>
      <c r="F4" s="224"/>
    </row>
    <row r="5" spans="1:7" ht="14.1" customHeight="1">
      <c r="A5" s="1"/>
      <c r="B5" s="3"/>
      <c r="C5" s="35"/>
      <c r="D5" s="16" t="s">
        <v>404</v>
      </c>
      <c r="E5" s="16"/>
      <c r="F5" s="16"/>
    </row>
    <row r="6" spans="1:7" ht="14.1" customHeight="1">
      <c r="A6" s="1"/>
      <c r="B6" s="3"/>
      <c r="C6" s="35"/>
      <c r="D6" s="224" t="s">
        <v>415</v>
      </c>
      <c r="E6" s="224"/>
      <c r="F6" s="224"/>
      <c r="G6" s="16"/>
    </row>
    <row r="7" spans="1:7" ht="14.1" customHeight="1">
      <c r="A7" s="1"/>
      <c r="B7" s="16"/>
      <c r="C7" s="16"/>
      <c r="D7" s="280" t="s">
        <v>418</v>
      </c>
      <c r="E7" s="280"/>
      <c r="F7" s="280"/>
    </row>
    <row r="8" spans="1:7" ht="12.75" customHeight="1">
      <c r="A8" s="232" t="s">
        <v>382</v>
      </c>
      <c r="B8" s="232"/>
      <c r="C8" s="232"/>
      <c r="D8" s="232"/>
      <c r="E8" s="232"/>
      <c r="F8" s="232"/>
      <c r="G8" s="33"/>
    </row>
    <row r="9" spans="1:7" ht="12.75" customHeight="1">
      <c r="A9" s="232"/>
      <c r="B9" s="232"/>
      <c r="C9" s="232"/>
      <c r="D9" s="232"/>
      <c r="E9" s="232"/>
      <c r="F9" s="232"/>
      <c r="G9" s="33"/>
    </row>
    <row r="10" spans="1:7" ht="12.75" customHeight="1">
      <c r="A10" s="232"/>
      <c r="B10" s="232"/>
      <c r="C10" s="232"/>
      <c r="D10" s="232"/>
      <c r="E10" s="232"/>
      <c r="F10" s="232"/>
      <c r="G10" s="33"/>
    </row>
    <row r="11" spans="1:7">
      <c r="A11" s="1"/>
      <c r="B11" s="3"/>
      <c r="C11" s="273" t="s">
        <v>260</v>
      </c>
      <c r="D11" s="273"/>
      <c r="E11" s="273"/>
      <c r="F11" s="273"/>
    </row>
    <row r="12" spans="1:7" ht="12.75" customHeight="1">
      <c r="A12" s="225" t="s">
        <v>0</v>
      </c>
      <c r="B12" s="225" t="s">
        <v>117</v>
      </c>
      <c r="C12" s="275" t="s">
        <v>126</v>
      </c>
      <c r="D12" s="234"/>
      <c r="E12" s="234"/>
      <c r="F12" s="235"/>
    </row>
    <row r="13" spans="1:7">
      <c r="A13" s="226"/>
      <c r="B13" s="274"/>
      <c r="C13" s="225" t="s">
        <v>3</v>
      </c>
      <c r="D13" s="268" t="s">
        <v>4</v>
      </c>
      <c r="E13" s="268"/>
      <c r="F13" s="269"/>
    </row>
    <row r="14" spans="1:7" ht="12.75" customHeight="1">
      <c r="A14" s="226"/>
      <c r="B14" s="274"/>
      <c r="C14" s="226"/>
      <c r="D14" s="267" t="s">
        <v>124</v>
      </c>
      <c r="E14" s="267"/>
      <c r="F14" s="225" t="s">
        <v>51</v>
      </c>
    </row>
    <row r="15" spans="1:7" ht="25.5" customHeight="1">
      <c r="A15" s="226"/>
      <c r="B15" s="274"/>
      <c r="C15" s="227"/>
      <c r="D15" s="91" t="s">
        <v>125</v>
      </c>
      <c r="E15" s="93" t="s">
        <v>8</v>
      </c>
      <c r="F15" s="227"/>
    </row>
    <row r="16" spans="1:7">
      <c r="A16" s="5">
        <v>1</v>
      </c>
      <c r="B16" s="92">
        <v>3</v>
      </c>
      <c r="C16" s="93">
        <v>4</v>
      </c>
      <c r="D16" s="93">
        <v>5</v>
      </c>
      <c r="E16" s="93">
        <v>6</v>
      </c>
      <c r="F16" s="93">
        <v>7</v>
      </c>
    </row>
    <row r="17" spans="1:10">
      <c r="A17" s="102" t="s">
        <v>84</v>
      </c>
      <c r="B17" s="17" t="s">
        <v>12</v>
      </c>
      <c r="C17" s="130">
        <f>1036400+5200-300+5000+900+7500+30500+3500</f>
        <v>1088700</v>
      </c>
      <c r="D17" s="19">
        <f>C17-F17</f>
        <v>1078700</v>
      </c>
      <c r="E17" s="19">
        <f>845200+7300+29500</f>
        <v>882000</v>
      </c>
      <c r="F17" s="19">
        <v>10000</v>
      </c>
    </row>
    <row r="18" spans="1:10">
      <c r="A18" s="102" t="s">
        <v>85</v>
      </c>
      <c r="B18" s="17" t="s">
        <v>243</v>
      </c>
      <c r="C18" s="130">
        <f>762000-500+11500+8100+1000</f>
        <v>782100</v>
      </c>
      <c r="D18" s="19">
        <f t="shared" ref="D18:D50" si="0">C18-F18</f>
        <v>780100</v>
      </c>
      <c r="E18" s="19">
        <f>615800+6000+8500</f>
        <v>630300</v>
      </c>
      <c r="F18" s="19">
        <v>2000</v>
      </c>
      <c r="J18" s="47"/>
    </row>
    <row r="19" spans="1:10" ht="12.75" customHeight="1">
      <c r="A19" s="103" t="s">
        <v>86</v>
      </c>
      <c r="B19" s="17" t="s">
        <v>256</v>
      </c>
      <c r="C19" s="131">
        <f>830400-700+10000+10000+14100+10200+1300</f>
        <v>875300</v>
      </c>
      <c r="D19" s="19">
        <f t="shared" si="0"/>
        <v>865300</v>
      </c>
      <c r="E19" s="82">
        <f>677200+5400+10100</f>
        <v>692700</v>
      </c>
      <c r="F19" s="82">
        <v>10000</v>
      </c>
    </row>
    <row r="20" spans="1:10" ht="12.75" customHeight="1">
      <c r="A20" s="103" t="s">
        <v>87</v>
      </c>
      <c r="B20" s="17" t="s">
        <v>244</v>
      </c>
      <c r="C20" s="131">
        <f>904300-500+7900+8100+7600+1500</f>
        <v>928900</v>
      </c>
      <c r="D20" s="19">
        <f>C20-F20</f>
        <v>927400</v>
      </c>
      <c r="E20" s="82">
        <f>738000-700+7800+8100</f>
        <v>753200</v>
      </c>
      <c r="F20" s="82">
        <v>1500</v>
      </c>
    </row>
    <row r="21" spans="1:10" ht="12.75" customHeight="1">
      <c r="A21" s="103" t="s">
        <v>88</v>
      </c>
      <c r="B21" s="17" t="s">
        <v>257</v>
      </c>
      <c r="C21" s="82">
        <f>1275500+20000-1500+6100+1500+6600+27800+4000</f>
        <v>1340000</v>
      </c>
      <c r="D21" s="19">
        <f t="shared" si="0"/>
        <v>1314000</v>
      </c>
      <c r="E21" s="82">
        <f>1094100-600+4000+27000</f>
        <v>1124500</v>
      </c>
      <c r="F21" s="82">
        <f>6000+20000</f>
        <v>26000</v>
      </c>
    </row>
    <row r="22" spans="1:10" ht="12.75" customHeight="1">
      <c r="A22" s="103" t="s">
        <v>89</v>
      </c>
      <c r="B22" s="17" t="s">
        <v>258</v>
      </c>
      <c r="C22" s="131">
        <f>1218900-2100+25000+13100+6100</f>
        <v>1261000</v>
      </c>
      <c r="D22" s="19">
        <f t="shared" si="0"/>
        <v>1241000</v>
      </c>
      <c r="E22" s="82">
        <f>1008500+10000+5400</f>
        <v>1023900</v>
      </c>
      <c r="F22" s="82">
        <f>1000+25000-6000</f>
        <v>20000</v>
      </c>
    </row>
    <row r="23" spans="1:10" ht="12.75" customHeight="1">
      <c r="A23" s="103" t="s">
        <v>90</v>
      </c>
      <c r="B23" s="17" t="s">
        <v>253</v>
      </c>
      <c r="C23" s="131">
        <f>549500-200+5000+7300+23300+2000</f>
        <v>586900</v>
      </c>
      <c r="D23" s="19">
        <f t="shared" si="0"/>
        <v>586900</v>
      </c>
      <c r="E23" s="82">
        <f>454900+4100+23000</f>
        <v>482000</v>
      </c>
      <c r="F23" s="82"/>
    </row>
    <row r="24" spans="1:10" ht="12.75" customHeight="1">
      <c r="A24" s="103" t="s">
        <v>91</v>
      </c>
      <c r="B24" s="17" t="s">
        <v>13</v>
      </c>
      <c r="C24" s="131">
        <f>580700+100+5000+7900+500+2500</f>
        <v>596700</v>
      </c>
      <c r="D24" s="19">
        <f t="shared" si="0"/>
        <v>595300</v>
      </c>
      <c r="E24" s="82">
        <f>488800+4100+600</f>
        <v>493500</v>
      </c>
      <c r="F24" s="82">
        <f>900+500</f>
        <v>1400</v>
      </c>
    </row>
    <row r="25" spans="1:10" ht="12.75" customHeight="1">
      <c r="A25" s="103" t="s">
        <v>92</v>
      </c>
      <c r="B25" s="17" t="s">
        <v>245</v>
      </c>
      <c r="C25" s="131">
        <f>294300-100+5000+3200-2500</f>
        <v>299900</v>
      </c>
      <c r="D25" s="19">
        <f t="shared" si="0"/>
        <v>299900</v>
      </c>
      <c r="E25" s="82">
        <f>246400+3100-2600</f>
        <v>246900</v>
      </c>
      <c r="F25" s="82"/>
    </row>
    <row r="26" spans="1:10" ht="12.75" customHeight="1">
      <c r="A26" s="103" t="s">
        <v>93</v>
      </c>
      <c r="B26" s="17" t="s">
        <v>246</v>
      </c>
      <c r="C26" s="131">
        <f>429000-400+5000+7300+34200+1000</f>
        <v>476100</v>
      </c>
      <c r="D26" s="19">
        <f t="shared" si="0"/>
        <v>456100</v>
      </c>
      <c r="E26" s="82">
        <f>335000+4000+33400</f>
        <v>372400</v>
      </c>
      <c r="F26" s="82">
        <v>20000</v>
      </c>
    </row>
    <row r="27" spans="1:10" ht="12.75" customHeight="1">
      <c r="A27" s="103" t="s">
        <v>94</v>
      </c>
      <c r="B27" s="17" t="s">
        <v>247</v>
      </c>
      <c r="C27" s="131">
        <f>532800-300+5000+8600+27800+2700</f>
        <v>576600</v>
      </c>
      <c r="D27" s="19">
        <f t="shared" si="0"/>
        <v>576600</v>
      </c>
      <c r="E27" s="82">
        <f>440300+8500+27200</f>
        <v>476000</v>
      </c>
      <c r="F27" s="82"/>
    </row>
    <row r="28" spans="1:10" ht="12.75" customHeight="1">
      <c r="A28" s="103" t="s">
        <v>95</v>
      </c>
      <c r="B28" s="17" t="s">
        <v>259</v>
      </c>
      <c r="C28" s="82">
        <f>379600-300+6300+600</f>
        <v>386200</v>
      </c>
      <c r="D28" s="19">
        <f t="shared" si="0"/>
        <v>386200</v>
      </c>
      <c r="E28" s="82">
        <f>326500+5400+700</f>
        <v>332600</v>
      </c>
      <c r="F28" s="82"/>
    </row>
    <row r="29" spans="1:10" ht="12.75" customHeight="1">
      <c r="A29" s="103" t="s">
        <v>96</v>
      </c>
      <c r="B29" s="17" t="s">
        <v>14</v>
      </c>
      <c r="C29" s="130">
        <f>416100+6000+3100+6900+1000</f>
        <v>433100</v>
      </c>
      <c r="D29" s="19">
        <f t="shared" si="0"/>
        <v>426100</v>
      </c>
      <c r="E29" s="19">
        <f>304000+3000+6900</f>
        <v>313900</v>
      </c>
      <c r="F29" s="19">
        <f>1000+6000</f>
        <v>7000</v>
      </c>
    </row>
    <row r="30" spans="1:10" ht="12.75" customHeight="1">
      <c r="A30" s="103" t="s">
        <v>97</v>
      </c>
      <c r="B30" s="17" t="s">
        <v>15</v>
      </c>
      <c r="C30" s="130">
        <f>641300+3600+3700+4100</f>
        <v>652700</v>
      </c>
      <c r="D30" s="19">
        <f t="shared" si="0"/>
        <v>652700</v>
      </c>
      <c r="E30" s="19">
        <f>511600+3500+3800</f>
        <v>518900</v>
      </c>
      <c r="F30" s="19"/>
    </row>
    <row r="31" spans="1:10" ht="12.75" customHeight="1">
      <c r="A31" s="103" t="s">
        <v>98</v>
      </c>
      <c r="B31" s="17" t="s">
        <v>119</v>
      </c>
      <c r="C31" s="130">
        <f>337100+25600+2000+3300+8800+1000</f>
        <v>377800</v>
      </c>
      <c r="D31" s="19">
        <f t="shared" si="0"/>
        <v>332200</v>
      </c>
      <c r="E31" s="19">
        <f>238500+3200+8300</f>
        <v>250000</v>
      </c>
      <c r="F31" s="19">
        <f>21500+25600-1500</f>
        <v>45600</v>
      </c>
    </row>
    <row r="32" spans="1:10">
      <c r="A32" s="103" t="s">
        <v>99</v>
      </c>
      <c r="B32" s="17" t="s">
        <v>248</v>
      </c>
      <c r="C32" s="131">
        <f>170200+5000+1600</f>
        <v>176800</v>
      </c>
      <c r="D32" s="19">
        <f t="shared" si="0"/>
        <v>174800</v>
      </c>
      <c r="E32" s="82">
        <f>160400+1600</f>
        <v>162000</v>
      </c>
      <c r="F32" s="82">
        <v>2000</v>
      </c>
    </row>
    <row r="33" spans="1:11">
      <c r="A33" s="103" t="s">
        <v>100</v>
      </c>
      <c r="B33" s="17" t="s">
        <v>53</v>
      </c>
      <c r="C33" s="130">
        <f>377500+4200</f>
        <v>381700</v>
      </c>
      <c r="D33" s="19">
        <f t="shared" si="0"/>
        <v>373700</v>
      </c>
      <c r="E33" s="19">
        <f>346300+4100</f>
        <v>350400</v>
      </c>
      <c r="F33" s="19">
        <v>8000</v>
      </c>
    </row>
    <row r="34" spans="1:11">
      <c r="A34" s="103" t="s">
        <v>101</v>
      </c>
      <c r="B34" s="17" t="s">
        <v>242</v>
      </c>
      <c r="C34" s="131">
        <f>168900+300+1600+700</f>
        <v>171500</v>
      </c>
      <c r="D34" s="19">
        <f t="shared" si="0"/>
        <v>171500</v>
      </c>
      <c r="E34" s="82">
        <f>152700+1600</f>
        <v>154300</v>
      </c>
      <c r="F34" s="82"/>
    </row>
    <row r="35" spans="1:11" ht="12.75" customHeight="1">
      <c r="A35" s="103" t="s">
        <v>102</v>
      </c>
      <c r="B35" s="17" t="s">
        <v>66</v>
      </c>
      <c r="C35" s="131">
        <v>347300</v>
      </c>
      <c r="D35" s="19">
        <f t="shared" si="0"/>
        <v>345100</v>
      </c>
      <c r="E35" s="82">
        <v>256700</v>
      </c>
      <c r="F35" s="82">
        <v>2200</v>
      </c>
    </row>
    <row r="36" spans="1:11">
      <c r="A36" s="103" t="s">
        <v>103</v>
      </c>
      <c r="B36" s="17" t="s">
        <v>363</v>
      </c>
      <c r="C36" s="82">
        <f>175900+100+200</f>
        <v>176200</v>
      </c>
      <c r="D36" s="19">
        <f t="shared" si="0"/>
        <v>176200</v>
      </c>
      <c r="E36" s="82">
        <f>145800+100</f>
        <v>145900</v>
      </c>
      <c r="F36" s="82"/>
    </row>
    <row r="37" spans="1:11" ht="12.75" customHeight="1">
      <c r="A37" s="103" t="s">
        <v>104</v>
      </c>
      <c r="B37" s="22" t="s">
        <v>55</v>
      </c>
      <c r="C37" s="95">
        <f>176600+2300+5000+2000+2200</f>
        <v>188100</v>
      </c>
      <c r="D37" s="19">
        <f t="shared" si="0"/>
        <v>185900</v>
      </c>
      <c r="E37" s="27">
        <v>152800</v>
      </c>
      <c r="F37" s="27">
        <f>800+1400</f>
        <v>2200</v>
      </c>
    </row>
    <row r="38" spans="1:11">
      <c r="A38" s="103" t="s">
        <v>105</v>
      </c>
      <c r="B38" s="22" t="s">
        <v>238</v>
      </c>
      <c r="C38" s="95">
        <f>526100+2500+1000+1000</f>
        <v>530600</v>
      </c>
      <c r="D38" s="19">
        <f t="shared" si="0"/>
        <v>530600</v>
      </c>
      <c r="E38" s="27">
        <v>462700</v>
      </c>
      <c r="F38" s="27"/>
    </row>
    <row r="39" spans="1:11" ht="12.75" customHeight="1">
      <c r="A39" s="103" t="s">
        <v>106</v>
      </c>
      <c r="B39" s="22" t="s">
        <v>74</v>
      </c>
      <c r="C39" s="96">
        <f>434800+800+4500+2600+6500+2200</f>
        <v>451400</v>
      </c>
      <c r="D39" s="19">
        <f t="shared" si="0"/>
        <v>428900</v>
      </c>
      <c r="E39" s="83">
        <v>290400</v>
      </c>
      <c r="F39" s="83">
        <v>22500</v>
      </c>
    </row>
    <row r="40" spans="1:11" ht="12" customHeight="1">
      <c r="A40" s="103" t="s">
        <v>107</v>
      </c>
      <c r="B40" s="22" t="s">
        <v>132</v>
      </c>
      <c r="C40" s="96">
        <f>65200+2000+1500</f>
        <v>68700</v>
      </c>
      <c r="D40" s="19">
        <f t="shared" si="0"/>
        <v>67900</v>
      </c>
      <c r="E40" s="83">
        <f>56900+200</f>
        <v>57100</v>
      </c>
      <c r="F40" s="83">
        <v>800</v>
      </c>
    </row>
    <row r="41" spans="1:11" ht="12.75" customHeight="1">
      <c r="A41" s="103" t="s">
        <v>108</v>
      </c>
      <c r="B41" s="22" t="s">
        <v>56</v>
      </c>
      <c r="C41" s="96">
        <f>62200+4400</f>
        <v>66600</v>
      </c>
      <c r="D41" s="19">
        <f t="shared" si="0"/>
        <v>65500</v>
      </c>
      <c r="E41" s="83">
        <f>51500+3200</f>
        <v>54700</v>
      </c>
      <c r="F41" s="83">
        <v>1100</v>
      </c>
    </row>
    <row r="42" spans="1:11">
      <c r="A42" s="103" t="s">
        <v>109</v>
      </c>
      <c r="B42" s="22" t="s">
        <v>232</v>
      </c>
      <c r="C42" s="96">
        <f>104600+2000+700+6500</f>
        <v>113800</v>
      </c>
      <c r="D42" s="19">
        <f t="shared" si="0"/>
        <v>76900</v>
      </c>
      <c r="E42" s="83">
        <f>52600+2000</f>
        <v>54600</v>
      </c>
      <c r="F42" s="83">
        <f>38800-2200+300</f>
        <v>36900</v>
      </c>
    </row>
    <row r="43" spans="1:11">
      <c r="A43" s="103" t="s">
        <v>110</v>
      </c>
      <c r="B43" s="22" t="s">
        <v>57</v>
      </c>
      <c r="C43" s="96">
        <f>148400+1400+2900</f>
        <v>152700</v>
      </c>
      <c r="D43" s="19">
        <f>C43-F43</f>
        <v>73800</v>
      </c>
      <c r="E43" s="83">
        <f>50600+2700</f>
        <v>53300</v>
      </c>
      <c r="F43" s="83">
        <v>78900</v>
      </c>
    </row>
    <row r="44" spans="1:11">
      <c r="A44" s="103" t="s">
        <v>180</v>
      </c>
      <c r="B44" s="49" t="s">
        <v>231</v>
      </c>
      <c r="C44" s="96">
        <f>271600+100</f>
        <v>271700</v>
      </c>
      <c r="D44" s="19">
        <f t="shared" si="0"/>
        <v>271700</v>
      </c>
      <c r="E44" s="96">
        <v>190500</v>
      </c>
      <c r="F44" s="96"/>
      <c r="K44" s="120"/>
    </row>
    <row r="45" spans="1:11" ht="12.75" customHeight="1">
      <c r="A45" s="103" t="s">
        <v>181</v>
      </c>
      <c r="B45" s="49" t="s">
        <v>233</v>
      </c>
      <c r="C45" s="96">
        <v>83400</v>
      </c>
      <c r="D45" s="19">
        <f t="shared" si="0"/>
        <v>83400</v>
      </c>
      <c r="E45" s="96">
        <v>79000</v>
      </c>
      <c r="F45" s="96"/>
    </row>
    <row r="46" spans="1:11" ht="12.75" customHeight="1">
      <c r="A46" s="103" t="s">
        <v>182</v>
      </c>
      <c r="B46" s="49" t="s">
        <v>237</v>
      </c>
      <c r="C46" s="96">
        <v>589200</v>
      </c>
      <c r="D46" s="19">
        <f t="shared" si="0"/>
        <v>589200</v>
      </c>
      <c r="E46" s="96">
        <f>497800+3300</f>
        <v>501100</v>
      </c>
      <c r="F46" s="96"/>
    </row>
    <row r="47" spans="1:11" ht="12.75" customHeight="1">
      <c r="A47" s="103" t="s">
        <v>183</v>
      </c>
      <c r="B47" s="49" t="s">
        <v>234</v>
      </c>
      <c r="C47" s="96">
        <f>374600-1500</f>
        <v>373100</v>
      </c>
      <c r="D47" s="19">
        <f t="shared" si="0"/>
        <v>62500</v>
      </c>
      <c r="E47" s="96"/>
      <c r="F47" s="96">
        <v>310600</v>
      </c>
    </row>
    <row r="48" spans="1:11" ht="12.75" customHeight="1">
      <c r="A48" s="103" t="s">
        <v>184</v>
      </c>
      <c r="B48" s="49" t="s">
        <v>118</v>
      </c>
      <c r="C48" s="96">
        <f>834800+2300+13000+17000-5200+500</f>
        <v>862400</v>
      </c>
      <c r="D48" s="19">
        <f t="shared" si="0"/>
        <v>862400</v>
      </c>
      <c r="E48" s="96">
        <f>756200+12500+7100-5300</f>
        <v>770500</v>
      </c>
      <c r="F48" s="96"/>
    </row>
    <row r="49" spans="1:6" ht="12.75" customHeight="1">
      <c r="A49" s="103" t="s">
        <v>185</v>
      </c>
      <c r="B49" s="49" t="s">
        <v>376</v>
      </c>
      <c r="C49" s="96">
        <f>560300+1700</f>
        <v>562000</v>
      </c>
      <c r="D49" s="19">
        <f t="shared" si="0"/>
        <v>562000</v>
      </c>
      <c r="E49" s="96">
        <v>492400</v>
      </c>
      <c r="F49" s="96"/>
    </row>
    <row r="50" spans="1:6" ht="12.75" customHeight="1">
      <c r="A50" s="104" t="s">
        <v>186</v>
      </c>
      <c r="B50" s="49" t="s">
        <v>82</v>
      </c>
      <c r="C50" s="96">
        <f>1411200+5000+3500+61700+8600+17200+16000-12000</f>
        <v>1511200</v>
      </c>
      <c r="D50" s="19">
        <f t="shared" si="0"/>
        <v>1491200</v>
      </c>
      <c r="E50" s="96">
        <f>835700+3500+61700+8600+17200</f>
        <v>926700</v>
      </c>
      <c r="F50" s="96">
        <f>15000+5000</f>
        <v>20000</v>
      </c>
    </row>
    <row r="51" spans="1:6" ht="12.75" customHeight="1">
      <c r="A51" s="104" t="s">
        <v>187</v>
      </c>
      <c r="B51" s="49" t="s">
        <v>69</v>
      </c>
      <c r="C51" s="96">
        <v>15213200</v>
      </c>
      <c r="D51" s="96">
        <v>8768400</v>
      </c>
      <c r="E51" s="96">
        <v>2334600</v>
      </c>
      <c r="F51" s="96">
        <v>6444800</v>
      </c>
    </row>
    <row r="52" spans="1:6">
      <c r="A52" s="37" t="s">
        <v>188</v>
      </c>
      <c r="B52" s="132" t="s">
        <v>133</v>
      </c>
      <c r="C52" s="27">
        <f>C17+C18+C19+C20+C21+C22+C23+C24+C25+C26+C27+C28+C29+C30+C31+C32+C33+C34+C35+C36+C37+C38+C39+C40+C41+C42+C43+C44+C45+C46+C47+C48+C49+C50+C51</f>
        <v>32953600</v>
      </c>
      <c r="D52" s="27">
        <f>D17+D18+D19+D20+D21+D22+D23+D24+D25+D26+D27+D28+D29+D30+D31+D32+D33+D34+D35+D36+D37+D38+D39+D40+D41+D42+D43+D44+D45+D46+D47+D48+D49+D50+D51</f>
        <v>25880100</v>
      </c>
      <c r="E52" s="27">
        <f>E17+E18+E19+E20+E21+E22+E23+E24+E25+E26+E27+E28+E29+E30+E31+E32+E33+E34+E35+E36+E37+E38+E39+E40+E41+E42+E43+E44+E45+E46+E47+E48+E49+E50+E51</f>
        <v>16082500</v>
      </c>
      <c r="F52" s="27">
        <f>F17+F18+F19+F20+F21+F22+F23+F24+F25+F26+F27+F28+F29+F30+F31+F32+F33+F34+F35+F36+F37+F38+F39+F40+F41+F42+F43+F44+F45+F46+F47+F48+F49+F50+F51</f>
        <v>7073500</v>
      </c>
    </row>
    <row r="53" spans="1:6">
      <c r="A53" s="271"/>
      <c r="B53" s="271"/>
      <c r="C53" s="271"/>
      <c r="D53" s="271"/>
      <c r="E53" s="271"/>
      <c r="F53" s="271"/>
    </row>
    <row r="54" spans="1:6">
      <c r="A54" s="272" t="s">
        <v>49</v>
      </c>
      <c r="B54" s="272"/>
      <c r="C54" s="272"/>
      <c r="D54" s="272"/>
      <c r="E54" s="272"/>
      <c r="F54" s="272"/>
    </row>
    <row r="55" spans="1:6">
      <c r="A55" s="88"/>
      <c r="B55" s="88"/>
      <c r="C55" s="88"/>
      <c r="D55" s="88"/>
      <c r="E55" s="88"/>
      <c r="F55" s="88"/>
    </row>
    <row r="56" spans="1:6">
      <c r="A56" s="88"/>
      <c r="B56" s="88"/>
      <c r="C56" s="88"/>
      <c r="D56" s="88"/>
      <c r="E56" s="88"/>
      <c r="F56" s="88"/>
    </row>
    <row r="57" spans="1:6">
      <c r="A57" s="88"/>
      <c r="B57" s="88"/>
      <c r="C57" s="88"/>
      <c r="D57" s="88"/>
      <c r="E57" s="88"/>
      <c r="F57" s="88"/>
    </row>
    <row r="58" spans="1:6">
      <c r="A58" s="88"/>
      <c r="B58" s="88"/>
      <c r="C58" s="88"/>
      <c r="D58" s="88"/>
      <c r="E58" s="88"/>
      <c r="F58" s="88"/>
    </row>
    <row r="59" spans="1:6">
      <c r="A59" s="88"/>
      <c r="B59" s="88"/>
      <c r="C59" s="88"/>
      <c r="D59" s="88"/>
      <c r="E59" s="88"/>
      <c r="F59" s="88"/>
    </row>
    <row r="60" spans="1:6">
      <c r="A60" s="88"/>
      <c r="B60" s="88"/>
      <c r="C60" s="88"/>
      <c r="D60" s="88"/>
      <c r="E60" s="88"/>
      <c r="F60" s="88"/>
    </row>
    <row r="61" spans="1:6">
      <c r="A61" s="88"/>
      <c r="B61" s="88"/>
      <c r="C61" s="88"/>
      <c r="D61" s="88"/>
      <c r="E61" s="88"/>
      <c r="F61" s="88"/>
    </row>
    <row r="62" spans="1:6">
      <c r="A62" s="88"/>
      <c r="B62" s="88"/>
      <c r="C62" s="88"/>
      <c r="D62" s="88"/>
      <c r="E62" s="88"/>
      <c r="F62" s="88"/>
    </row>
    <row r="63" spans="1:6">
      <c r="A63" s="88"/>
      <c r="B63" s="88"/>
      <c r="C63" s="88"/>
      <c r="D63" s="88"/>
      <c r="E63" s="88"/>
      <c r="F63" s="88"/>
    </row>
    <row r="64" spans="1:6">
      <c r="A64" s="88"/>
      <c r="B64" s="88"/>
      <c r="C64" s="88"/>
      <c r="D64" s="88"/>
      <c r="E64" s="88"/>
      <c r="F64" s="88"/>
    </row>
    <row r="65" spans="1:6">
      <c r="A65" s="88"/>
      <c r="B65" s="88"/>
      <c r="C65" s="88"/>
      <c r="D65" s="88"/>
      <c r="E65" s="88"/>
      <c r="F65" s="88"/>
    </row>
    <row r="66" spans="1:6">
      <c r="A66" s="88"/>
      <c r="B66" s="88"/>
      <c r="C66" s="88"/>
      <c r="D66" s="88"/>
      <c r="E66" s="88"/>
      <c r="F66" s="88"/>
    </row>
    <row r="67" spans="1:6">
      <c r="A67" s="88"/>
      <c r="B67" s="88"/>
      <c r="C67" s="88"/>
      <c r="D67" s="88"/>
      <c r="E67" s="88"/>
      <c r="F67" s="88"/>
    </row>
    <row r="68" spans="1:6">
      <c r="A68" s="88"/>
      <c r="B68" s="88"/>
      <c r="C68" s="88"/>
      <c r="D68" s="88"/>
      <c r="E68" s="88"/>
      <c r="F68" s="88"/>
    </row>
    <row r="69" spans="1:6">
      <c r="A69" s="88"/>
      <c r="B69" s="88"/>
      <c r="C69" s="88"/>
      <c r="D69" s="88"/>
      <c r="E69" s="88"/>
      <c r="F69" s="88"/>
    </row>
    <row r="70" spans="1:6">
      <c r="A70" s="88"/>
      <c r="B70" s="88"/>
      <c r="C70" s="88"/>
      <c r="D70" s="88"/>
      <c r="E70" s="88"/>
      <c r="F70" s="88"/>
    </row>
    <row r="71" spans="1:6">
      <c r="A71" s="88"/>
      <c r="B71" s="88"/>
      <c r="C71" s="88"/>
      <c r="D71" s="88"/>
      <c r="E71" s="88"/>
      <c r="F71" s="88"/>
    </row>
    <row r="72" spans="1:6">
      <c r="A72" s="88"/>
      <c r="B72" s="88"/>
      <c r="C72" s="88"/>
      <c r="D72" s="88"/>
      <c r="E72" s="88"/>
      <c r="F72" s="88"/>
    </row>
    <row r="73" spans="1:6">
      <c r="A73" s="88"/>
      <c r="B73" s="88"/>
      <c r="C73" s="88"/>
      <c r="D73" s="88"/>
      <c r="E73" s="88"/>
      <c r="F73" s="88"/>
    </row>
    <row r="74" spans="1:6">
      <c r="A74" s="88"/>
      <c r="B74" s="88"/>
      <c r="C74" s="88"/>
      <c r="D74" s="88"/>
      <c r="E74" s="88"/>
      <c r="F74" s="88"/>
    </row>
    <row r="75" spans="1:6">
      <c r="A75" s="88"/>
      <c r="B75" s="88"/>
      <c r="C75" s="88"/>
      <c r="D75" s="88"/>
      <c r="E75" s="88"/>
      <c r="F75" s="88"/>
    </row>
    <row r="76" spans="1:6">
      <c r="A76" s="88"/>
      <c r="B76" s="88"/>
      <c r="C76" s="88"/>
      <c r="D76" s="88"/>
      <c r="E76" s="88"/>
      <c r="F76" s="88"/>
    </row>
    <row r="77" spans="1:6">
      <c r="A77" s="88"/>
      <c r="B77" s="88"/>
      <c r="C77" s="88"/>
      <c r="D77" s="88"/>
      <c r="E77" s="88"/>
      <c r="F77" s="88"/>
    </row>
    <row r="78" spans="1:6">
      <c r="A78" s="88"/>
      <c r="B78" s="88"/>
      <c r="C78" s="88"/>
      <c r="D78" s="88"/>
      <c r="E78" s="88"/>
      <c r="F78" s="88"/>
    </row>
    <row r="79" spans="1:6">
      <c r="A79" s="88"/>
      <c r="B79" s="88"/>
      <c r="C79" s="88"/>
      <c r="D79" s="88"/>
      <c r="E79" s="88"/>
      <c r="F79" s="88"/>
    </row>
    <row r="80" spans="1:6">
      <c r="A80" s="88"/>
      <c r="B80" s="88"/>
      <c r="C80" s="88"/>
      <c r="D80" s="88"/>
      <c r="E80" s="88"/>
      <c r="F80" s="88"/>
    </row>
    <row r="81" spans="1:6">
      <c r="A81" s="90"/>
      <c r="B81" s="90"/>
      <c r="C81" s="90"/>
      <c r="D81" s="90"/>
      <c r="E81" s="90"/>
      <c r="F81" s="90"/>
    </row>
    <row r="82" spans="1:6">
      <c r="A82" s="90"/>
      <c r="B82" s="90"/>
      <c r="C82" s="90"/>
      <c r="D82" s="90"/>
      <c r="E82" s="90"/>
      <c r="F82" s="90"/>
    </row>
    <row r="83" spans="1:6">
      <c r="A83" s="90"/>
      <c r="B83" s="90"/>
      <c r="C83" s="90"/>
      <c r="D83" s="90"/>
      <c r="E83" s="90"/>
      <c r="F83" s="90"/>
    </row>
    <row r="84" spans="1:6">
      <c r="A84" s="90"/>
      <c r="B84" s="90"/>
      <c r="C84" s="90"/>
      <c r="D84" s="90"/>
      <c r="E84" s="90"/>
      <c r="F84" s="90"/>
    </row>
    <row r="85" spans="1:6">
      <c r="A85" s="90"/>
      <c r="B85" s="90"/>
      <c r="C85" s="90"/>
      <c r="D85" s="90"/>
      <c r="E85" s="90"/>
      <c r="F85" s="90"/>
    </row>
    <row r="86" spans="1:6">
      <c r="A86" s="90"/>
      <c r="B86" s="90"/>
      <c r="C86" s="90"/>
      <c r="D86" s="90"/>
      <c r="E86" s="90"/>
      <c r="F86" s="90"/>
    </row>
    <row r="87" spans="1:6">
      <c r="A87" s="90"/>
      <c r="B87" s="90"/>
      <c r="C87" s="90"/>
      <c r="D87" s="90"/>
      <c r="E87" s="90"/>
      <c r="F87" s="90"/>
    </row>
    <row r="88" spans="1:6">
      <c r="A88" s="90"/>
      <c r="B88" s="90"/>
      <c r="C88" s="90"/>
      <c r="D88" s="90"/>
      <c r="E88" s="90"/>
      <c r="F88" s="90"/>
    </row>
    <row r="89" spans="1:6">
      <c r="A89" s="90"/>
      <c r="B89" s="90"/>
      <c r="C89" s="90"/>
      <c r="D89" s="90"/>
      <c r="E89" s="90"/>
      <c r="F89" s="90"/>
    </row>
    <row r="90" spans="1:6">
      <c r="A90" s="90"/>
      <c r="B90" s="90"/>
      <c r="C90" s="90"/>
      <c r="D90" s="90"/>
      <c r="E90" s="90"/>
      <c r="F90" s="90"/>
    </row>
    <row r="91" spans="1:6">
      <c r="A91" s="90"/>
      <c r="B91" s="90"/>
      <c r="C91" s="90"/>
      <c r="D91" s="90"/>
      <c r="E91" s="90"/>
      <c r="F91" s="90"/>
    </row>
    <row r="92" spans="1:6">
      <c r="A92" s="90"/>
      <c r="B92" s="90"/>
      <c r="C92" s="90"/>
      <c r="D92" s="90"/>
      <c r="E92" s="90"/>
      <c r="F92" s="90"/>
    </row>
    <row r="93" spans="1:6">
      <c r="A93" s="90"/>
      <c r="B93" s="90"/>
      <c r="C93" s="90"/>
      <c r="D93" s="90"/>
      <c r="E93" s="90"/>
      <c r="F93" s="90"/>
    </row>
    <row r="94" spans="1:6">
      <c r="A94" s="90"/>
      <c r="B94" s="90"/>
      <c r="C94" s="90"/>
      <c r="D94" s="90"/>
      <c r="E94" s="90"/>
      <c r="F94" s="90"/>
    </row>
    <row r="95" spans="1:6">
      <c r="A95" s="90"/>
      <c r="B95" s="90"/>
      <c r="C95" s="90"/>
      <c r="D95" s="90"/>
      <c r="E95" s="90"/>
      <c r="F95" s="90"/>
    </row>
    <row r="96" spans="1:6">
      <c r="A96" s="90"/>
      <c r="B96" s="90"/>
      <c r="C96" s="90"/>
      <c r="D96" s="90"/>
      <c r="E96" s="90"/>
      <c r="F96" s="90"/>
    </row>
    <row r="97" spans="1:6">
      <c r="A97" s="90"/>
      <c r="B97" s="90"/>
      <c r="C97" s="90"/>
      <c r="D97" s="90"/>
      <c r="E97" s="90"/>
      <c r="F97" s="90"/>
    </row>
    <row r="98" spans="1:6">
      <c r="A98" s="90"/>
      <c r="B98" s="90"/>
      <c r="C98" s="90"/>
      <c r="D98" s="90"/>
      <c r="E98" s="90"/>
      <c r="F98" s="90"/>
    </row>
    <row r="99" spans="1:6">
      <c r="A99" s="90"/>
      <c r="B99" s="90"/>
      <c r="C99" s="90"/>
      <c r="D99" s="90"/>
      <c r="E99" s="90"/>
      <c r="F99" s="90"/>
    </row>
    <row r="100" spans="1:6">
      <c r="A100" s="90"/>
      <c r="B100" s="90"/>
      <c r="C100" s="90"/>
      <c r="D100" s="90"/>
      <c r="E100" s="90"/>
      <c r="F100" s="90"/>
    </row>
    <row r="101" spans="1:6">
      <c r="A101" s="90"/>
      <c r="B101" s="90"/>
      <c r="C101" s="90"/>
      <c r="D101" s="90"/>
      <c r="E101" s="90"/>
      <c r="F101" s="90"/>
    </row>
    <row r="102" spans="1:6">
      <c r="A102" s="90"/>
      <c r="B102" s="90"/>
      <c r="C102" s="90"/>
      <c r="D102" s="90"/>
      <c r="E102" s="90"/>
      <c r="F102" s="90"/>
    </row>
    <row r="103" spans="1:6">
      <c r="A103" s="90"/>
      <c r="B103" s="90"/>
      <c r="C103" s="90"/>
      <c r="D103" s="90"/>
      <c r="E103" s="90"/>
      <c r="F103" s="90"/>
    </row>
    <row r="104" spans="1:6">
      <c r="A104" s="90"/>
      <c r="B104" s="90"/>
      <c r="C104" s="90"/>
      <c r="D104" s="90"/>
      <c r="E104" s="90"/>
      <c r="F104" s="90"/>
    </row>
    <row r="105" spans="1:6">
      <c r="A105" s="90"/>
      <c r="B105" s="90"/>
      <c r="C105" s="90"/>
      <c r="D105" s="90"/>
      <c r="E105" s="90"/>
      <c r="F105" s="90"/>
    </row>
    <row r="106" spans="1:6">
      <c r="A106" s="90"/>
      <c r="B106" s="90"/>
      <c r="C106" s="90"/>
      <c r="D106" s="90"/>
      <c r="E106" s="90"/>
      <c r="F106" s="90"/>
    </row>
    <row r="107" spans="1:6">
      <c r="A107" s="90"/>
      <c r="B107" s="90"/>
      <c r="C107" s="90"/>
      <c r="D107" s="90"/>
      <c r="E107" s="90"/>
      <c r="F107" s="90"/>
    </row>
    <row r="108" spans="1:6">
      <c r="A108" s="90"/>
      <c r="B108" s="90"/>
      <c r="C108" s="90"/>
      <c r="D108" s="90"/>
      <c r="E108" s="90"/>
      <c r="F108" s="90"/>
    </row>
    <row r="109" spans="1:6">
      <c r="A109" s="90"/>
      <c r="B109" s="90"/>
      <c r="C109" s="90"/>
      <c r="D109" s="90"/>
      <c r="E109" s="90"/>
      <c r="F109" s="90"/>
    </row>
    <row r="110" spans="1:6">
      <c r="A110" s="90"/>
      <c r="B110" s="90"/>
      <c r="C110" s="90"/>
      <c r="D110" s="90"/>
      <c r="E110" s="90"/>
      <c r="F110" s="90"/>
    </row>
    <row r="111" spans="1:6">
      <c r="A111" s="90"/>
      <c r="B111" s="90"/>
      <c r="C111" s="90"/>
      <c r="D111" s="90"/>
      <c r="E111" s="90"/>
      <c r="F111" s="90"/>
    </row>
    <row r="112" spans="1:6">
      <c r="A112" s="90"/>
      <c r="B112" s="90"/>
      <c r="C112" s="90"/>
      <c r="D112" s="90"/>
      <c r="E112" s="90"/>
      <c r="F112" s="90"/>
    </row>
    <row r="113" spans="1:6">
      <c r="A113" s="90"/>
      <c r="B113" s="90"/>
      <c r="C113" s="90"/>
      <c r="D113" s="90"/>
      <c r="E113" s="90"/>
      <c r="F113" s="90"/>
    </row>
    <row r="114" spans="1:6">
      <c r="A114" s="90"/>
      <c r="B114" s="90"/>
      <c r="C114" s="90"/>
      <c r="D114" s="90"/>
      <c r="E114" s="90"/>
      <c r="F114" s="90"/>
    </row>
    <row r="115" spans="1:6">
      <c r="A115" s="90"/>
      <c r="B115" s="90"/>
      <c r="C115" s="90"/>
      <c r="D115" s="90"/>
      <c r="E115" s="90"/>
      <c r="F115" s="90"/>
    </row>
    <row r="116" spans="1:6">
      <c r="A116" s="90"/>
      <c r="B116" s="90"/>
      <c r="C116" s="90"/>
      <c r="D116" s="90"/>
      <c r="E116" s="90"/>
      <c r="F116" s="90"/>
    </row>
    <row r="117" spans="1:6">
      <c r="A117" s="90"/>
      <c r="B117" s="90"/>
      <c r="C117" s="90"/>
      <c r="D117" s="90"/>
      <c r="E117" s="90"/>
      <c r="F117" s="90"/>
    </row>
    <row r="118" spans="1:6">
      <c r="A118" s="90"/>
      <c r="B118" s="90"/>
      <c r="C118" s="90"/>
      <c r="D118" s="90"/>
      <c r="E118" s="90"/>
      <c r="F118" s="90"/>
    </row>
    <row r="119" spans="1:6">
      <c r="A119" s="90"/>
      <c r="B119" s="90"/>
      <c r="C119" s="90"/>
      <c r="D119" s="90"/>
      <c r="E119" s="90"/>
      <c r="F119" s="90"/>
    </row>
    <row r="120" spans="1:6">
      <c r="A120" s="90"/>
      <c r="B120" s="90"/>
      <c r="C120" s="90"/>
      <c r="D120" s="90"/>
      <c r="E120" s="90"/>
      <c r="F120" s="90"/>
    </row>
    <row r="121" spans="1:6">
      <c r="A121" s="90"/>
      <c r="B121" s="90"/>
      <c r="C121" s="90"/>
      <c r="D121" s="90"/>
      <c r="E121" s="90"/>
      <c r="F121" s="90"/>
    </row>
    <row r="122" spans="1:6">
      <c r="A122" s="90"/>
      <c r="B122" s="90"/>
      <c r="C122" s="90"/>
      <c r="D122" s="90"/>
      <c r="E122" s="90"/>
      <c r="F122" s="90"/>
    </row>
    <row r="123" spans="1:6">
      <c r="A123" s="90"/>
      <c r="B123" s="90"/>
      <c r="C123" s="90"/>
      <c r="D123" s="90"/>
      <c r="E123" s="90"/>
      <c r="F123" s="90"/>
    </row>
    <row r="124" spans="1:6">
      <c r="A124" s="90"/>
      <c r="B124" s="90"/>
      <c r="C124" s="90"/>
      <c r="D124" s="90"/>
      <c r="E124" s="90"/>
      <c r="F124" s="90"/>
    </row>
    <row r="125" spans="1:6">
      <c r="A125" s="90"/>
      <c r="B125" s="90"/>
      <c r="C125" s="90"/>
      <c r="D125" s="90"/>
      <c r="E125" s="90"/>
      <c r="F125" s="90"/>
    </row>
    <row r="126" spans="1:6">
      <c r="A126" s="90"/>
      <c r="B126" s="90"/>
      <c r="C126" s="90"/>
      <c r="D126" s="90"/>
      <c r="E126" s="90"/>
      <c r="F126" s="90"/>
    </row>
    <row r="127" spans="1:6">
      <c r="A127" s="90"/>
      <c r="B127" s="90"/>
      <c r="C127" s="90"/>
      <c r="D127" s="90"/>
      <c r="E127" s="90"/>
      <c r="F127" s="90"/>
    </row>
    <row r="128" spans="1:6">
      <c r="A128" s="90"/>
      <c r="B128" s="90"/>
      <c r="C128" s="90"/>
      <c r="D128" s="90"/>
      <c r="E128" s="90"/>
      <c r="F128" s="90"/>
    </row>
    <row r="129" spans="1:6">
      <c r="A129" s="90"/>
      <c r="B129" s="90"/>
      <c r="C129" s="90"/>
      <c r="D129" s="90"/>
      <c r="E129" s="90"/>
      <c r="F129" s="90"/>
    </row>
    <row r="130" spans="1:6">
      <c r="A130" s="90"/>
      <c r="B130" s="90"/>
      <c r="C130" s="90"/>
      <c r="D130" s="90"/>
      <c r="E130" s="90"/>
      <c r="F130" s="90"/>
    </row>
    <row r="131" spans="1:6">
      <c r="A131" s="90"/>
      <c r="B131" s="90"/>
      <c r="C131" s="90"/>
      <c r="D131" s="90"/>
      <c r="E131" s="90"/>
      <c r="F131" s="90"/>
    </row>
    <row r="132" spans="1:6">
      <c r="A132" s="90"/>
      <c r="B132" s="90"/>
      <c r="C132" s="90"/>
      <c r="D132" s="90"/>
      <c r="E132" s="90"/>
      <c r="F132" s="90"/>
    </row>
    <row r="133" spans="1:6">
      <c r="A133" s="90"/>
      <c r="B133" s="90"/>
      <c r="C133" s="90"/>
      <c r="D133" s="90"/>
      <c r="E133" s="90"/>
      <c r="F133" s="90"/>
    </row>
    <row r="134" spans="1:6">
      <c r="A134" s="90"/>
      <c r="B134" s="90"/>
      <c r="C134" s="90"/>
      <c r="D134" s="90"/>
      <c r="E134" s="90"/>
      <c r="F134" s="90"/>
    </row>
  </sheetData>
  <mergeCells count="17">
    <mergeCell ref="A53:F53"/>
    <mergeCell ref="A54:F54"/>
    <mergeCell ref="A8:F10"/>
    <mergeCell ref="C11:F11"/>
    <mergeCell ref="A12:A15"/>
    <mergeCell ref="B12:B15"/>
    <mergeCell ref="C12:F12"/>
    <mergeCell ref="C13:C15"/>
    <mergeCell ref="D13:F13"/>
    <mergeCell ref="D14:E14"/>
    <mergeCell ref="F14:F15"/>
    <mergeCell ref="D1:F1"/>
    <mergeCell ref="D2:F2"/>
    <mergeCell ref="D3:F3"/>
    <mergeCell ref="D4:F4"/>
    <mergeCell ref="D6:F6"/>
    <mergeCell ref="D7:F7"/>
  </mergeCells>
  <phoneticPr fontId="5" type="noConversion"/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9"/>
  <sheetViews>
    <sheetView tabSelected="1" zoomScale="135" zoomScaleNormal="135" workbookViewId="0">
      <selection activeCell="F11" sqref="F11:G11"/>
    </sheetView>
  </sheetViews>
  <sheetFormatPr defaultRowHeight="12.75"/>
  <cols>
    <col min="1" max="1" width="4" customWidth="1"/>
    <col min="2" max="2" width="10.140625" customWidth="1"/>
    <col min="3" max="3" width="35.28515625" customWidth="1"/>
    <col min="4" max="5" width="10.140625" customWidth="1"/>
    <col min="6" max="6" width="11.28515625" customWidth="1"/>
    <col min="7" max="7" width="10.7109375" customWidth="1"/>
  </cols>
  <sheetData>
    <row r="1" spans="1:8" ht="14.1" customHeight="1">
      <c r="A1" s="3"/>
      <c r="B1" s="3"/>
      <c r="C1" s="3"/>
      <c r="D1" s="35"/>
      <c r="E1" s="223" t="s">
        <v>7</v>
      </c>
      <c r="F1" s="223"/>
      <c r="G1" s="223"/>
    </row>
    <row r="2" spans="1:8" ht="14.1" customHeight="1">
      <c r="A2" s="3"/>
      <c r="B2" s="3"/>
      <c r="C2" s="3"/>
      <c r="D2" s="35"/>
      <c r="E2" s="223" t="s">
        <v>377</v>
      </c>
      <c r="F2" s="223"/>
      <c r="G2" s="223"/>
    </row>
    <row r="3" spans="1:8" ht="14.1" customHeight="1">
      <c r="A3" s="1"/>
      <c r="B3" s="2"/>
      <c r="C3" s="3"/>
      <c r="D3" s="35"/>
      <c r="E3" s="223" t="s">
        <v>406</v>
      </c>
      <c r="F3" s="223"/>
      <c r="G3" s="223"/>
    </row>
    <row r="4" spans="1:8" ht="14.1" customHeight="1">
      <c r="A4" s="1"/>
      <c r="B4" s="2"/>
      <c r="C4" s="16"/>
      <c r="D4" s="16"/>
      <c r="E4" s="224" t="s">
        <v>136</v>
      </c>
      <c r="F4" s="224"/>
      <c r="G4" s="224"/>
    </row>
    <row r="5" spans="1:8" ht="14.1" customHeight="1">
      <c r="A5" s="1"/>
      <c r="B5" s="2"/>
      <c r="C5" s="16"/>
      <c r="D5" s="16"/>
      <c r="E5" s="16" t="s">
        <v>404</v>
      </c>
      <c r="F5" s="16"/>
      <c r="G5" s="16"/>
    </row>
    <row r="6" spans="1:8" ht="14.1" customHeight="1">
      <c r="A6" s="1"/>
      <c r="B6" s="2"/>
      <c r="C6" s="16"/>
      <c r="D6" s="16"/>
      <c r="E6" s="224" t="s">
        <v>415</v>
      </c>
      <c r="F6" s="224"/>
      <c r="G6" s="224"/>
    </row>
    <row r="7" spans="1:8" ht="14.1" customHeight="1">
      <c r="A7" s="1"/>
      <c r="B7" s="2"/>
      <c r="C7" s="16"/>
      <c r="D7" s="16"/>
      <c r="E7" s="280" t="s">
        <v>418</v>
      </c>
      <c r="F7" s="280"/>
      <c r="G7" s="280"/>
    </row>
    <row r="8" spans="1:8" ht="12.75" customHeight="1">
      <c r="A8" s="1"/>
      <c r="B8" s="2"/>
      <c r="C8" s="3"/>
      <c r="D8" s="16"/>
      <c r="E8" s="16"/>
      <c r="F8" s="16"/>
      <c r="G8" s="16"/>
    </row>
    <row r="9" spans="1:8" ht="12" customHeight="1">
      <c r="A9" s="232" t="s">
        <v>405</v>
      </c>
      <c r="B9" s="232"/>
      <c r="C9" s="232"/>
      <c r="D9" s="232"/>
      <c r="E9" s="232"/>
      <c r="F9" s="232"/>
      <c r="G9" s="232"/>
      <c r="H9" s="48"/>
    </row>
    <row r="10" spans="1:8" ht="12" customHeight="1">
      <c r="A10" s="232"/>
      <c r="B10" s="232"/>
      <c r="C10" s="232"/>
      <c r="D10" s="232"/>
      <c r="E10" s="232"/>
      <c r="F10" s="232"/>
      <c r="G10" s="232"/>
      <c r="H10" s="48"/>
    </row>
    <row r="11" spans="1:8" ht="15" customHeight="1">
      <c r="A11" s="1"/>
      <c r="B11" s="2"/>
      <c r="C11" s="3"/>
      <c r="D11" s="276"/>
      <c r="E11" s="276"/>
      <c r="F11" s="273" t="s">
        <v>260</v>
      </c>
      <c r="G11" s="273"/>
      <c r="H11" s="33"/>
    </row>
    <row r="12" spans="1:8" ht="12.75" customHeight="1">
      <c r="A12" s="225" t="s">
        <v>0</v>
      </c>
      <c r="B12" s="220" t="s">
        <v>1</v>
      </c>
      <c r="C12" s="225" t="s">
        <v>113</v>
      </c>
      <c r="D12" s="275" t="s">
        <v>126</v>
      </c>
      <c r="E12" s="234"/>
      <c r="F12" s="234"/>
      <c r="G12" s="235"/>
    </row>
    <row r="13" spans="1:8" ht="12.75" customHeight="1">
      <c r="A13" s="226"/>
      <c r="B13" s="221"/>
      <c r="C13" s="226"/>
      <c r="D13" s="225" t="s">
        <v>3</v>
      </c>
      <c r="E13" s="268" t="s">
        <v>4</v>
      </c>
      <c r="F13" s="268"/>
      <c r="G13" s="269"/>
    </row>
    <row r="14" spans="1:8">
      <c r="A14" s="226"/>
      <c r="B14" s="221"/>
      <c r="C14" s="226"/>
      <c r="D14" s="226"/>
      <c r="E14" s="267" t="s">
        <v>124</v>
      </c>
      <c r="F14" s="267"/>
      <c r="G14" s="225" t="s">
        <v>51</v>
      </c>
    </row>
    <row r="15" spans="1:8" ht="24.75" customHeight="1">
      <c r="A15" s="227"/>
      <c r="B15" s="222"/>
      <c r="C15" s="227"/>
      <c r="D15" s="227"/>
      <c r="E15" s="91" t="s">
        <v>125</v>
      </c>
      <c r="F15" s="93" t="s">
        <v>8</v>
      </c>
      <c r="G15" s="227"/>
    </row>
    <row r="16" spans="1:8" ht="12" customHeight="1">
      <c r="A16" s="5">
        <v>1</v>
      </c>
      <c r="B16" s="79" t="s">
        <v>5</v>
      </c>
      <c r="C16" s="4">
        <v>3</v>
      </c>
      <c r="D16" s="4">
        <v>5</v>
      </c>
      <c r="E16" s="4">
        <v>6</v>
      </c>
      <c r="F16" s="4">
        <v>7</v>
      </c>
      <c r="G16" s="4">
        <v>8</v>
      </c>
    </row>
    <row r="17" spans="1:11" ht="25.5">
      <c r="A17" s="75" t="s">
        <v>84</v>
      </c>
      <c r="B17" s="220" t="s">
        <v>10</v>
      </c>
      <c r="C17" s="17" t="s">
        <v>11</v>
      </c>
      <c r="D17" s="82">
        <f>SUM(D18:D23)</f>
        <v>12033600</v>
      </c>
      <c r="E17" s="82">
        <f>SUM(E18:E23)</f>
        <v>11877900</v>
      </c>
      <c r="F17" s="82">
        <f>SUM(F18:F23)</f>
        <v>9661100</v>
      </c>
      <c r="G17" s="82">
        <f>SUM(G18:G23)</f>
        <v>155700</v>
      </c>
    </row>
    <row r="18" spans="1:11">
      <c r="A18" s="78" t="s">
        <v>85</v>
      </c>
      <c r="B18" s="221"/>
      <c r="C18" s="18" t="s">
        <v>114</v>
      </c>
      <c r="D18" s="20">
        <f>4948800+45600+37000+10400+35000+10000+31600+1500</f>
        <v>5119900</v>
      </c>
      <c r="E18" s="20">
        <f t="shared" ref="E18:E23" si="0">D18-G18</f>
        <v>4965700</v>
      </c>
      <c r="F18" s="20">
        <v>3616600</v>
      </c>
      <c r="G18" s="20">
        <f>72400+45600+6000+37200+500-7500</f>
        <v>154200</v>
      </c>
    </row>
    <row r="19" spans="1:11">
      <c r="A19" s="78" t="s">
        <v>86</v>
      </c>
      <c r="B19" s="221"/>
      <c r="C19" s="18" t="s">
        <v>392</v>
      </c>
      <c r="D19" s="20">
        <f>5946600+156700</f>
        <v>6103300</v>
      </c>
      <c r="E19" s="20">
        <f t="shared" si="0"/>
        <v>6101800</v>
      </c>
      <c r="F19" s="20">
        <f>5609100-1300+79500+189900</f>
        <v>5877200</v>
      </c>
      <c r="G19" s="20">
        <v>1500</v>
      </c>
    </row>
    <row r="20" spans="1:11">
      <c r="A20" s="75" t="s">
        <v>87</v>
      </c>
      <c r="B20" s="221"/>
      <c r="C20" s="18" t="s">
        <v>115</v>
      </c>
      <c r="D20" s="41">
        <f>197500-11800+18800+2000</f>
        <v>206500</v>
      </c>
      <c r="E20" s="20">
        <f t="shared" si="0"/>
        <v>206500</v>
      </c>
      <c r="F20" s="41"/>
      <c r="G20" s="41"/>
      <c r="K20" s="47"/>
    </row>
    <row r="21" spans="1:11">
      <c r="A21" s="75" t="s">
        <v>88</v>
      </c>
      <c r="B21" s="221"/>
      <c r="C21" s="18" t="s">
        <v>292</v>
      </c>
      <c r="D21" s="41">
        <f>135900+7400</f>
        <v>143300</v>
      </c>
      <c r="E21" s="20">
        <f t="shared" si="0"/>
        <v>143300</v>
      </c>
      <c r="F21" s="41">
        <f>124400+7300</f>
        <v>131700</v>
      </c>
      <c r="G21" s="41"/>
    </row>
    <row r="22" spans="1:11">
      <c r="A22" s="75" t="s">
        <v>89</v>
      </c>
      <c r="B22" s="221"/>
      <c r="C22" s="18" t="s">
        <v>116</v>
      </c>
      <c r="D22" s="41">
        <f>336100+4100+6100+11200</f>
        <v>357500</v>
      </c>
      <c r="E22" s="20">
        <f t="shared" si="0"/>
        <v>357500</v>
      </c>
      <c r="F22" s="41">
        <v>33000</v>
      </c>
      <c r="G22" s="41"/>
    </row>
    <row r="23" spans="1:11">
      <c r="A23" s="75" t="s">
        <v>90</v>
      </c>
      <c r="B23" s="221"/>
      <c r="C23" s="18" t="s">
        <v>293</v>
      </c>
      <c r="D23" s="41">
        <f>92600+10500</f>
        <v>103100</v>
      </c>
      <c r="E23" s="20">
        <f t="shared" si="0"/>
        <v>103100</v>
      </c>
      <c r="F23" s="41">
        <v>2600</v>
      </c>
      <c r="G23" s="41"/>
    </row>
    <row r="24" spans="1:11" ht="25.5">
      <c r="A24" s="75" t="s">
        <v>91</v>
      </c>
      <c r="B24" s="277" t="s">
        <v>9</v>
      </c>
      <c r="C24" s="8" t="s">
        <v>16</v>
      </c>
      <c r="D24" s="83">
        <f>SUM(D25:D28)</f>
        <v>4992100</v>
      </c>
      <c r="E24" s="83">
        <f>SUM(E25:E28)</f>
        <v>4972100</v>
      </c>
      <c r="F24" s="83">
        <f>SUM(F25:F28)</f>
        <v>2388300</v>
      </c>
      <c r="G24" s="83">
        <f>SUM(G25:G28)</f>
        <v>20000</v>
      </c>
    </row>
    <row r="25" spans="1:11" ht="12" customHeight="1">
      <c r="A25" s="76" t="s">
        <v>92</v>
      </c>
      <c r="B25" s="278"/>
      <c r="C25" s="18" t="s">
        <v>114</v>
      </c>
      <c r="D25" s="133">
        <f>2434800+5000+2300+3000+91300</f>
        <v>2536400</v>
      </c>
      <c r="E25" s="20">
        <f>D25-G25</f>
        <v>2526400</v>
      </c>
      <c r="F25" s="133">
        <v>942600</v>
      </c>
      <c r="G25" s="133">
        <f>5000+5000</f>
        <v>10000</v>
      </c>
    </row>
    <row r="26" spans="1:11">
      <c r="A26" s="76" t="s">
        <v>93</v>
      </c>
      <c r="B26" s="278"/>
      <c r="C26" s="18" t="s">
        <v>292</v>
      </c>
      <c r="D26" s="23">
        <v>137000</v>
      </c>
      <c r="E26" s="20">
        <f>D26-G26</f>
        <v>137000</v>
      </c>
      <c r="F26" s="24">
        <v>107000</v>
      </c>
      <c r="G26" s="24"/>
    </row>
    <row r="27" spans="1:11" ht="12.75" customHeight="1">
      <c r="A27" s="76" t="s">
        <v>94</v>
      </c>
      <c r="B27" s="278"/>
      <c r="C27" s="18" t="s">
        <v>115</v>
      </c>
      <c r="D27" s="23">
        <f>1106200-400+80700+28400+27800+4000</f>
        <v>1246700</v>
      </c>
      <c r="E27" s="20">
        <f>D27-G27</f>
        <v>1246700</v>
      </c>
      <c r="F27" s="196">
        <f>636400+74200+13800+11900</f>
        <v>736300</v>
      </c>
      <c r="G27" s="23"/>
    </row>
    <row r="28" spans="1:11">
      <c r="A28" s="75" t="s">
        <v>95</v>
      </c>
      <c r="B28" s="278"/>
      <c r="C28" s="18" t="s">
        <v>116</v>
      </c>
      <c r="D28" s="23">
        <f>1057500+3500+11000</f>
        <v>1072000</v>
      </c>
      <c r="E28" s="20">
        <f>D28-G28</f>
        <v>1062000</v>
      </c>
      <c r="F28" s="23">
        <f>597000+3500+1900</f>
        <v>602400</v>
      </c>
      <c r="G28" s="23">
        <v>10000</v>
      </c>
    </row>
    <row r="29" spans="1:11" ht="25.5">
      <c r="A29" s="37" t="s">
        <v>96</v>
      </c>
      <c r="B29" s="277" t="s">
        <v>54</v>
      </c>
      <c r="C29" s="22" t="s">
        <v>261</v>
      </c>
      <c r="D29" s="96">
        <f>SUM(D30:D31)</f>
        <v>1796800</v>
      </c>
      <c r="E29" s="96">
        <f>SUM(E30:E31)</f>
        <v>1769900</v>
      </c>
      <c r="F29" s="83">
        <f>SUM(F30:F31)</f>
        <v>1123500</v>
      </c>
      <c r="G29" s="83">
        <f>SUM(G30:G31)</f>
        <v>26900</v>
      </c>
    </row>
    <row r="30" spans="1:11">
      <c r="A30" s="37" t="s">
        <v>97</v>
      </c>
      <c r="B30" s="278"/>
      <c r="C30" s="18" t="s">
        <v>114</v>
      </c>
      <c r="D30" s="23">
        <f>1860400+5000-122100+3300+6700+19300+1900+3500+2200</f>
        <v>1780200</v>
      </c>
      <c r="E30" s="20">
        <f>D30-G30</f>
        <v>1755800</v>
      </c>
      <c r="F30" s="23">
        <f>1115400+8100</f>
        <v>1123500</v>
      </c>
      <c r="G30" s="23">
        <f>137700+800-117700+1400+300+1900</f>
        <v>24400</v>
      </c>
    </row>
    <row r="31" spans="1:11" ht="12.75" customHeight="1">
      <c r="A31" s="37" t="s">
        <v>98</v>
      </c>
      <c r="B31" s="278"/>
      <c r="C31" s="18" t="s">
        <v>116</v>
      </c>
      <c r="D31" s="23">
        <f>14400+2200</f>
        <v>16600</v>
      </c>
      <c r="E31" s="20">
        <f>D31-G31</f>
        <v>14100</v>
      </c>
      <c r="F31" s="23"/>
      <c r="G31" s="23">
        <v>2500</v>
      </c>
    </row>
    <row r="32" spans="1:11" ht="25.5">
      <c r="A32" s="75" t="s">
        <v>99</v>
      </c>
      <c r="B32" s="277" t="s">
        <v>19</v>
      </c>
      <c r="C32" s="22" t="s">
        <v>20</v>
      </c>
      <c r="D32" s="96">
        <f>SUM(D33:D36)</f>
        <v>4224700</v>
      </c>
      <c r="E32" s="96">
        <f>SUM(E33:E36)</f>
        <v>3887100</v>
      </c>
      <c r="F32" s="83">
        <f>SUM(F33:F36)</f>
        <v>2751600</v>
      </c>
      <c r="G32" s="83">
        <f>SUM(G33:G36)</f>
        <v>337600</v>
      </c>
    </row>
    <row r="33" spans="1:7">
      <c r="A33" s="77" t="s">
        <v>100</v>
      </c>
      <c r="B33" s="278"/>
      <c r="C33" s="18" t="s">
        <v>114</v>
      </c>
      <c r="D33" s="23">
        <f>3226600-15000+1000+10000+3000+900-1500</f>
        <v>3225000</v>
      </c>
      <c r="E33" s="20">
        <f>D33-G33</f>
        <v>2887400</v>
      </c>
      <c r="F33" s="23">
        <f>2007000+3300</f>
        <v>2010300</v>
      </c>
      <c r="G33" s="23">
        <v>337600</v>
      </c>
    </row>
    <row r="34" spans="1:7">
      <c r="A34" s="77" t="s">
        <v>101</v>
      </c>
      <c r="B34" s="278"/>
      <c r="C34" s="18" t="s">
        <v>292</v>
      </c>
      <c r="D34" s="23">
        <v>13700</v>
      </c>
      <c r="E34" s="20">
        <f>D34-G34</f>
        <v>13700</v>
      </c>
      <c r="F34" s="24">
        <v>13500</v>
      </c>
      <c r="G34" s="24"/>
    </row>
    <row r="35" spans="1:7">
      <c r="A35" s="75" t="s">
        <v>102</v>
      </c>
      <c r="B35" s="278"/>
      <c r="C35" s="18" t="s">
        <v>115</v>
      </c>
      <c r="D35" s="23">
        <v>944000</v>
      </c>
      <c r="E35" s="20">
        <f>D35-G35</f>
        <v>944000</v>
      </c>
      <c r="F35" s="23">
        <v>727800</v>
      </c>
      <c r="G35" s="23"/>
    </row>
    <row r="36" spans="1:7">
      <c r="A36" s="75" t="s">
        <v>103</v>
      </c>
      <c r="B36" s="278"/>
      <c r="C36" s="18" t="s">
        <v>116</v>
      </c>
      <c r="D36" s="23">
        <v>42000</v>
      </c>
      <c r="E36" s="20">
        <f>D36-G36</f>
        <v>42000</v>
      </c>
      <c r="F36" s="23"/>
      <c r="G36" s="10"/>
    </row>
    <row r="37" spans="1:7" ht="25.5">
      <c r="A37" s="75" t="s">
        <v>104</v>
      </c>
      <c r="B37" s="277" t="s">
        <v>22</v>
      </c>
      <c r="C37" s="80" t="s">
        <v>112</v>
      </c>
      <c r="D37" s="83">
        <f>SUM(D38:D38)</f>
        <v>1054500</v>
      </c>
      <c r="E37" s="83">
        <f>SUM(E38:E38)</f>
        <v>1050900</v>
      </c>
      <c r="F37" s="83">
        <f>SUM(F38:F38)</f>
        <v>0</v>
      </c>
      <c r="G37" s="83">
        <f>SUM(G38:G38)</f>
        <v>3600</v>
      </c>
    </row>
    <row r="38" spans="1:7">
      <c r="A38" s="75" t="s">
        <v>105</v>
      </c>
      <c r="B38" s="278"/>
      <c r="C38" s="18" t="s">
        <v>114</v>
      </c>
      <c r="D38" s="28">
        <f>984000+10000+92500-19000-6000-3900-3100</f>
        <v>1054500</v>
      </c>
      <c r="E38" s="20">
        <f>D38-G38</f>
        <v>1050900</v>
      </c>
      <c r="F38" s="83"/>
      <c r="G38" s="28">
        <v>3600</v>
      </c>
    </row>
    <row r="39" spans="1:7" ht="25.5">
      <c r="A39" s="75" t="s">
        <v>106</v>
      </c>
      <c r="B39" s="277" t="s">
        <v>76</v>
      </c>
      <c r="C39" s="80" t="s">
        <v>235</v>
      </c>
      <c r="D39" s="83">
        <f>SUM(D40:D42)</f>
        <v>3110300</v>
      </c>
      <c r="E39" s="30">
        <f>SUM(E40:E42)</f>
        <v>1617100</v>
      </c>
      <c r="F39" s="30">
        <f>SUM(F40:F42)</f>
        <v>143100</v>
      </c>
      <c r="G39" s="83">
        <f>SUM(G40:G42)</f>
        <v>1493200</v>
      </c>
    </row>
    <row r="40" spans="1:7" ht="12.75" customHeight="1">
      <c r="A40" s="75" t="s">
        <v>107</v>
      </c>
      <c r="B40" s="278"/>
      <c r="C40" s="18" t="s">
        <v>114</v>
      </c>
      <c r="D40" s="23">
        <f>1587800+57700-43500-6000-35000-58300-9700-11800-1900-3500</f>
        <v>1475800</v>
      </c>
      <c r="E40" s="20">
        <f>D40-G40</f>
        <v>1025400</v>
      </c>
      <c r="F40" s="23">
        <v>99400</v>
      </c>
      <c r="G40" s="23">
        <f>520900+49700-54000-6000-25000-21700-9000+12000-16500</f>
        <v>450400</v>
      </c>
    </row>
    <row r="41" spans="1:7" ht="12.75" customHeight="1">
      <c r="A41" s="75" t="s">
        <v>108</v>
      </c>
      <c r="B41" s="278"/>
      <c r="C41" s="18" t="s">
        <v>115</v>
      </c>
      <c r="D41" s="23">
        <v>46300</v>
      </c>
      <c r="E41" s="20">
        <f>D41-G41</f>
        <v>46300</v>
      </c>
      <c r="F41" s="23">
        <v>43700</v>
      </c>
      <c r="G41" s="23"/>
    </row>
    <row r="42" spans="1:7" ht="12.75" customHeight="1">
      <c r="A42" s="75" t="s">
        <v>109</v>
      </c>
      <c r="B42" s="278"/>
      <c r="C42" s="18" t="s">
        <v>294</v>
      </c>
      <c r="D42" s="23">
        <f>1300400+287800</f>
        <v>1588200</v>
      </c>
      <c r="E42" s="20">
        <f>D42-G42</f>
        <v>545400</v>
      </c>
      <c r="F42" s="23"/>
      <c r="G42" s="23">
        <f>650400+104600+287800</f>
        <v>1042800</v>
      </c>
    </row>
    <row r="43" spans="1:7" ht="12.75" customHeight="1">
      <c r="A43" s="75" t="s">
        <v>110</v>
      </c>
      <c r="B43" s="277" t="s">
        <v>77</v>
      </c>
      <c r="C43" s="22" t="s">
        <v>79</v>
      </c>
      <c r="D43" s="95">
        <f>SUM(D44:D46)</f>
        <v>5741600</v>
      </c>
      <c r="E43" s="95">
        <f>SUM(E44:E46)</f>
        <v>705100</v>
      </c>
      <c r="F43" s="95">
        <f>SUM(F44:F46)</f>
        <v>14900</v>
      </c>
      <c r="G43" s="95">
        <f>SUM(G44:G46)</f>
        <v>5036500</v>
      </c>
    </row>
    <row r="44" spans="1:7">
      <c r="A44" s="75" t="s">
        <v>180</v>
      </c>
      <c r="B44" s="278"/>
      <c r="C44" s="18" t="s">
        <v>114</v>
      </c>
      <c r="D44" s="23">
        <f>500000+57400+1500+117700+89900+136100+110800+14500</f>
        <v>1027900</v>
      </c>
      <c r="E44" s="20">
        <f>D44-G44</f>
        <v>90800</v>
      </c>
      <c r="F44" s="21">
        <f>2100+100+100</f>
        <v>2300</v>
      </c>
      <c r="G44" s="21">
        <f>450000+53800+1500+115500+92400+103500+110000+10400</f>
        <v>937100</v>
      </c>
    </row>
    <row r="45" spans="1:7">
      <c r="A45" s="75" t="s">
        <v>181</v>
      </c>
      <c r="B45" s="278"/>
      <c r="C45" s="18" t="s">
        <v>292</v>
      </c>
      <c r="D45" s="23">
        <f>302000+825000+65300+247700+148100+4100</f>
        <v>1592200</v>
      </c>
      <c r="E45" s="20">
        <f>D45-G45</f>
        <v>209300</v>
      </c>
      <c r="F45" s="21">
        <f>200+300</f>
        <v>500</v>
      </c>
      <c r="G45" s="21">
        <f>236200+825000+38300+197700+76800+8900</f>
        <v>1382900</v>
      </c>
    </row>
    <row r="46" spans="1:7">
      <c r="A46" s="39" t="s">
        <v>182</v>
      </c>
      <c r="B46" s="279"/>
      <c r="C46" s="18" t="s">
        <v>293</v>
      </c>
      <c r="D46" s="23">
        <f>474300+963500+778100+426000+479600</f>
        <v>3121500</v>
      </c>
      <c r="E46" s="20">
        <f>D46-G46</f>
        <v>405000</v>
      </c>
      <c r="F46" s="21">
        <f>3200+2100+400+2900+3500</f>
        <v>12100</v>
      </c>
      <c r="G46" s="21">
        <f>414800+723100+668200+402400+508000</f>
        <v>2716500</v>
      </c>
    </row>
    <row r="47" spans="1:7">
      <c r="A47" s="7" t="s">
        <v>183</v>
      </c>
      <c r="B47" s="81"/>
      <c r="C47" s="109" t="s">
        <v>133</v>
      </c>
      <c r="D47" s="27">
        <f>SUM(D43+D39+D37+D32+D29+D24+D17)</f>
        <v>32953600</v>
      </c>
      <c r="E47" s="27">
        <f>SUM(E43+E39+E37+E32+E29+E24+E17)</f>
        <v>25880100</v>
      </c>
      <c r="F47" s="27">
        <f>SUM(F43+F39+F37+F32+F29+F24+F17)</f>
        <v>16082500</v>
      </c>
      <c r="G47" s="27">
        <f>SUM(G43+G39+G37+G32+G29+G24+G17)</f>
        <v>7073500</v>
      </c>
    </row>
    <row r="48" spans="1:7">
      <c r="A48" s="215" t="s">
        <v>306</v>
      </c>
      <c r="B48" s="215"/>
      <c r="C48" s="215"/>
      <c r="D48" s="215"/>
      <c r="E48" s="215"/>
      <c r="F48" s="215"/>
      <c r="G48" s="215"/>
    </row>
    <row r="49" spans="1:7">
      <c r="A49" s="47"/>
      <c r="B49" s="47"/>
      <c r="C49" s="47"/>
      <c r="D49" s="47"/>
      <c r="E49" s="47"/>
      <c r="F49" s="47"/>
      <c r="G49" s="47"/>
    </row>
  </sheetData>
  <mergeCells count="25">
    <mergeCell ref="B43:B46"/>
    <mergeCell ref="A48:G48"/>
    <mergeCell ref="A12:A15"/>
    <mergeCell ref="B12:B15"/>
    <mergeCell ref="D13:D15"/>
    <mergeCell ref="E13:G13"/>
    <mergeCell ref="B17:B23"/>
    <mergeCell ref="B24:B28"/>
    <mergeCell ref="B29:B31"/>
    <mergeCell ref="B32:B36"/>
    <mergeCell ref="B37:B38"/>
    <mergeCell ref="B39:B42"/>
    <mergeCell ref="C12:C15"/>
    <mergeCell ref="D12:G12"/>
    <mergeCell ref="E14:F14"/>
    <mergeCell ref="G14:G15"/>
    <mergeCell ref="E1:G1"/>
    <mergeCell ref="E2:G2"/>
    <mergeCell ref="E3:G3"/>
    <mergeCell ref="E4:G4"/>
    <mergeCell ref="A9:G10"/>
    <mergeCell ref="D11:E11"/>
    <mergeCell ref="F11:G11"/>
    <mergeCell ref="E6:G6"/>
    <mergeCell ref="E7:G7"/>
  </mergeCells>
  <phoneticPr fontId="5" type="noConversion"/>
  <pageMargins left="1.3779527559055118" right="0.39370078740157483" top="0.39370078740157483" bottom="0.39370078740157483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 pr.pajamos</vt:lpstr>
      <vt:lpstr>2 pr. deleg.</vt:lpstr>
      <vt:lpstr>3 pr.kitos spec. tiksl. dot.</vt:lpstr>
      <vt:lpstr>4 pr. mok. lėš.</vt:lpstr>
      <vt:lpstr>6 pr. savivaldybės</vt:lpstr>
      <vt:lpstr>7 pr. eurp.sąj.</vt:lpstr>
      <vt:lpstr>8 pr. asignav. valdytojus</vt:lpstr>
      <vt:lpstr>9 pr. bendros išlaidos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User</cp:lastModifiedBy>
  <cp:lastPrinted>2019-10-29T07:11:08Z</cp:lastPrinted>
  <dcterms:created xsi:type="dcterms:W3CDTF">2011-02-01T07:14:51Z</dcterms:created>
  <dcterms:modified xsi:type="dcterms:W3CDTF">2019-10-31T11:47:44Z</dcterms:modified>
</cp:coreProperties>
</file>