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7515" windowHeight="5130" firstSheet="3" activeTab="6"/>
  </bookViews>
  <sheets>
    <sheet name="1 pr.pajamos" sheetId="22" r:id="rId1"/>
    <sheet name="2 pr. deleg." sheetId="29" r:id="rId2"/>
    <sheet name="3 pr.kitos spec. tiksl. dot." sheetId="20" r:id="rId3"/>
    <sheet name="4 pr. mok. lėš." sheetId="30" r:id="rId4"/>
    <sheet name="6 pr. savivaldybės" sheetId="17" r:id="rId5"/>
    <sheet name="7 pr. eurp.sąj." sheetId="31" r:id="rId6"/>
    <sheet name="8 pr. asignav. valdytojus" sheetId="6" r:id="rId7"/>
    <sheet name="9 pr. bendros išlaidos" sheetId="15" r:id="rId8"/>
  </sheets>
  <calcPr calcId="125725"/>
</workbook>
</file>

<file path=xl/calcChain.xml><?xml version="1.0" encoding="utf-8"?>
<calcChain xmlns="http://schemas.openxmlformats.org/spreadsheetml/2006/main">
  <c r="F18" i="6"/>
  <c r="D23" i="15"/>
  <c r="C18" i="6"/>
  <c r="G17" i="31"/>
  <c r="H17"/>
  <c r="E17"/>
  <c r="F20"/>
  <c r="F17"/>
  <c r="F23"/>
  <c r="C31" i="22"/>
  <c r="E89" i="17"/>
  <c r="E81"/>
  <c r="E42"/>
  <c r="D34" i="15"/>
  <c r="D31"/>
  <c r="D18"/>
  <c r="G45"/>
  <c r="D45"/>
  <c r="G31"/>
  <c r="G18"/>
  <c r="F27"/>
  <c r="E44" i="6"/>
  <c r="C47"/>
  <c r="F42"/>
  <c r="C42"/>
  <c r="F26"/>
  <c r="C26"/>
  <c r="E77" i="17"/>
  <c r="E92"/>
  <c r="H117"/>
  <c r="E117"/>
  <c r="E70"/>
  <c r="H28"/>
  <c r="H18"/>
  <c r="E28"/>
  <c r="F38" i="29"/>
  <c r="C50" i="22"/>
  <c r="F47" i="15"/>
  <c r="G47"/>
  <c r="D47"/>
  <c r="F45"/>
  <c r="F25"/>
  <c r="D25"/>
  <c r="G19"/>
  <c r="C44" i="6"/>
  <c r="F19"/>
  <c r="G22" i="31"/>
  <c r="H22"/>
  <c r="E22"/>
  <c r="G116" i="17"/>
  <c r="H116"/>
  <c r="E49" i="20"/>
  <c r="F49"/>
  <c r="E62" i="17"/>
  <c r="E57"/>
  <c r="G47"/>
  <c r="E47"/>
  <c r="C30" i="22"/>
  <c r="C29"/>
  <c r="E36" i="6"/>
  <c r="C36"/>
  <c r="E34"/>
  <c r="C34"/>
  <c r="E33"/>
  <c r="C33"/>
  <c r="E32"/>
  <c r="C32"/>
  <c r="E31"/>
  <c r="C31"/>
  <c r="E30"/>
  <c r="C30"/>
  <c r="E29"/>
  <c r="C29"/>
  <c r="E28"/>
  <c r="C28"/>
  <c r="E27"/>
  <c r="C27"/>
  <c r="E26"/>
  <c r="E24"/>
  <c r="C24"/>
  <c r="E23"/>
  <c r="C23"/>
  <c r="E22"/>
  <c r="C22"/>
  <c r="E21"/>
  <c r="C21"/>
  <c r="E20"/>
  <c r="C20"/>
  <c r="C19"/>
  <c r="E19"/>
  <c r="E18"/>
  <c r="E17"/>
  <c r="C17"/>
  <c r="G19" i="20"/>
  <c r="F21" i="15"/>
  <c r="D21"/>
  <c r="G21" i="20"/>
  <c r="E21"/>
  <c r="G20"/>
  <c r="E20"/>
  <c r="E19"/>
  <c r="G37"/>
  <c r="E37"/>
  <c r="G26"/>
  <c r="E26"/>
  <c r="G23"/>
  <c r="E23"/>
  <c r="G22"/>
  <c r="E22"/>
  <c r="F19" i="15"/>
  <c r="D19"/>
  <c r="E28" i="30"/>
  <c r="E27"/>
  <c r="E26"/>
  <c r="E24"/>
  <c r="E23"/>
  <c r="E22"/>
  <c r="E21"/>
  <c r="E20"/>
  <c r="E19"/>
  <c r="E18"/>
  <c r="E17"/>
  <c r="E39"/>
  <c r="G32"/>
  <c r="E32"/>
  <c r="G31"/>
  <c r="E31"/>
  <c r="G30"/>
  <c r="E30"/>
  <c r="G29"/>
  <c r="E29"/>
  <c r="G28"/>
  <c r="G27"/>
  <c r="G26"/>
  <c r="G24"/>
  <c r="G23"/>
  <c r="G22"/>
  <c r="G21"/>
  <c r="G20"/>
  <c r="G19"/>
  <c r="G18"/>
  <c r="G17"/>
  <c r="C49" i="6"/>
  <c r="F21"/>
  <c r="E49" i="17"/>
  <c r="H23"/>
  <c r="E23"/>
  <c r="D39" i="15"/>
  <c r="E116" i="17"/>
  <c r="E98"/>
  <c r="E45" i="15"/>
  <c r="F18"/>
  <c r="D28"/>
  <c r="G46"/>
  <c r="D46"/>
  <c r="D37"/>
  <c r="F29"/>
  <c r="G29"/>
  <c r="D29"/>
  <c r="E30"/>
  <c r="D26"/>
  <c r="E21"/>
  <c r="D42"/>
  <c r="F35"/>
  <c r="D27"/>
  <c r="E50" i="6"/>
  <c r="C50"/>
  <c r="C48"/>
  <c r="C46"/>
  <c r="C40"/>
  <c r="C39"/>
  <c r="C37"/>
  <c r="D37"/>
  <c r="C38"/>
  <c r="C35"/>
  <c r="F20"/>
  <c r="E18" i="31"/>
  <c r="G18"/>
  <c r="F18"/>
  <c r="E67" i="17"/>
  <c r="E80"/>
  <c r="G36"/>
  <c r="G24"/>
  <c r="G35"/>
  <c r="G21"/>
  <c r="G22"/>
  <c r="E20"/>
  <c r="E69" i="29"/>
  <c r="F69"/>
  <c r="H20" i="30"/>
  <c r="H66" i="20"/>
  <c r="E66"/>
  <c r="F57"/>
  <c r="G57"/>
  <c r="H57"/>
  <c r="E57"/>
  <c r="F58"/>
  <c r="G58"/>
  <c r="H58"/>
  <c r="E58"/>
  <c r="F61"/>
  <c r="F59"/>
  <c r="E43"/>
  <c r="E42"/>
  <c r="E44"/>
  <c r="E47"/>
  <c r="F56"/>
  <c r="F53"/>
  <c r="F54"/>
  <c r="F55"/>
  <c r="F52"/>
  <c r="F51"/>
  <c r="G51"/>
  <c r="H51"/>
  <c r="E51"/>
  <c r="F37"/>
  <c r="E36"/>
  <c r="E35"/>
  <c r="F33"/>
  <c r="F34"/>
  <c r="E32"/>
  <c r="E31"/>
  <c r="E29"/>
  <c r="E28"/>
  <c r="E27"/>
  <c r="E25"/>
  <c r="E24"/>
  <c r="F56" i="29"/>
  <c r="F58"/>
  <c r="F36"/>
  <c r="E36"/>
  <c r="E40"/>
  <c r="C40" i="22"/>
  <c r="C28"/>
  <c r="G27" i="17"/>
  <c r="E25" i="6"/>
  <c r="E78" i="17"/>
  <c r="E76"/>
  <c r="C25" i="6"/>
  <c r="F21" i="30"/>
  <c r="G25"/>
  <c r="E25"/>
  <c r="E27" i="29"/>
  <c r="E23"/>
  <c r="G41" i="15"/>
  <c r="D41"/>
  <c r="E41"/>
  <c r="E40"/>
  <c r="G39"/>
  <c r="F26"/>
  <c r="F24"/>
  <c r="D44" i="6"/>
  <c r="F29"/>
  <c r="D20"/>
  <c r="E48"/>
  <c r="G17" i="15"/>
  <c r="G48"/>
  <c r="E18"/>
  <c r="E19"/>
  <c r="E20"/>
  <c r="D22"/>
  <c r="D17"/>
  <c r="E23"/>
  <c r="F23"/>
  <c r="F17"/>
  <c r="D24"/>
  <c r="G24"/>
  <c r="E25"/>
  <c r="E26"/>
  <c r="E27"/>
  <c r="E24"/>
  <c r="E28"/>
  <c r="E31"/>
  <c r="E29"/>
  <c r="E32"/>
  <c r="F33"/>
  <c r="E34"/>
  <c r="G34"/>
  <c r="G33"/>
  <c r="D35"/>
  <c r="D33"/>
  <c r="D48"/>
  <c r="E36"/>
  <c r="E37"/>
  <c r="D38"/>
  <c r="F38"/>
  <c r="G38"/>
  <c r="E39"/>
  <c r="E38"/>
  <c r="D40"/>
  <c r="G40"/>
  <c r="E42"/>
  <c r="F42"/>
  <c r="F40"/>
  <c r="F48"/>
  <c r="D43"/>
  <c r="E43"/>
  <c r="G43"/>
  <c r="D44"/>
  <c r="F44"/>
  <c r="E47"/>
  <c r="F17" i="6"/>
  <c r="D17"/>
  <c r="D18"/>
  <c r="D19"/>
  <c r="D21"/>
  <c r="F22"/>
  <c r="D22"/>
  <c r="D23"/>
  <c r="D24"/>
  <c r="D25"/>
  <c r="D26"/>
  <c r="D27"/>
  <c r="D28"/>
  <c r="D29"/>
  <c r="D30"/>
  <c r="D31"/>
  <c r="D32"/>
  <c r="D33"/>
  <c r="D34"/>
  <c r="F35"/>
  <c r="D35"/>
  <c r="D36"/>
  <c r="D38"/>
  <c r="D39"/>
  <c r="D40"/>
  <c r="D41"/>
  <c r="D42"/>
  <c r="C43"/>
  <c r="D43"/>
  <c r="F43"/>
  <c r="D45"/>
  <c r="E46"/>
  <c r="F46"/>
  <c r="D46"/>
  <c r="D47"/>
  <c r="D48"/>
  <c r="D49"/>
  <c r="E49"/>
  <c r="D50"/>
  <c r="E52"/>
  <c r="F19" i="31"/>
  <c r="E21"/>
  <c r="G21"/>
  <c r="H21"/>
  <c r="F22"/>
  <c r="F21"/>
  <c r="E23"/>
  <c r="G23"/>
  <c r="H23"/>
  <c r="G18" i="17"/>
  <c r="E19"/>
  <c r="F19"/>
  <c r="H19"/>
  <c r="F20"/>
  <c r="H20"/>
  <c r="E21"/>
  <c r="F21"/>
  <c r="E22"/>
  <c r="F22"/>
  <c r="F23"/>
  <c r="E24"/>
  <c r="F24"/>
  <c r="H24"/>
  <c r="E25"/>
  <c r="F25"/>
  <c r="E26"/>
  <c r="F26"/>
  <c r="E27"/>
  <c r="F27"/>
  <c r="F29"/>
  <c r="E30"/>
  <c r="F30"/>
  <c r="F31"/>
  <c r="F32"/>
  <c r="E33"/>
  <c r="F33"/>
  <c r="F34"/>
  <c r="E35"/>
  <c r="F35"/>
  <c r="F36"/>
  <c r="E37"/>
  <c r="F37"/>
  <c r="H37"/>
  <c r="F38"/>
  <c r="E39"/>
  <c r="E18"/>
  <c r="F40"/>
  <c r="E41"/>
  <c r="F41"/>
  <c r="F42"/>
  <c r="F39"/>
  <c r="F18"/>
  <c r="F43"/>
  <c r="F44"/>
  <c r="G45"/>
  <c r="H45"/>
  <c r="F46"/>
  <c r="F48"/>
  <c r="F49"/>
  <c r="G49"/>
  <c r="E50"/>
  <c r="G50"/>
  <c r="H50"/>
  <c r="F51"/>
  <c r="F52"/>
  <c r="F53"/>
  <c r="E54"/>
  <c r="F54"/>
  <c r="E55"/>
  <c r="F55"/>
  <c r="F56"/>
  <c r="F57"/>
  <c r="E58"/>
  <c r="F58"/>
  <c r="E59"/>
  <c r="F59"/>
  <c r="F60"/>
  <c r="F61"/>
  <c r="F62"/>
  <c r="E63"/>
  <c r="F63"/>
  <c r="G64"/>
  <c r="H64"/>
  <c r="E65"/>
  <c r="F65"/>
  <c r="F66"/>
  <c r="F67"/>
  <c r="F68"/>
  <c r="F69"/>
  <c r="F70"/>
  <c r="E71"/>
  <c r="F71"/>
  <c r="E72"/>
  <c r="E64"/>
  <c r="G72"/>
  <c r="H72"/>
  <c r="F73"/>
  <c r="E74"/>
  <c r="F74"/>
  <c r="E75"/>
  <c r="F75"/>
  <c r="F76"/>
  <c r="F77"/>
  <c r="F78"/>
  <c r="F79"/>
  <c r="F80"/>
  <c r="F81"/>
  <c r="G82"/>
  <c r="H82"/>
  <c r="E83"/>
  <c r="E82"/>
  <c r="G83"/>
  <c r="H83"/>
  <c r="F84"/>
  <c r="F85"/>
  <c r="F86"/>
  <c r="F87"/>
  <c r="E88"/>
  <c r="F88"/>
  <c r="F89"/>
  <c r="F83"/>
  <c r="F82"/>
  <c r="E90"/>
  <c r="F90"/>
  <c r="F91"/>
  <c r="F92"/>
  <c r="F93"/>
  <c r="H93"/>
  <c r="G94"/>
  <c r="H94"/>
  <c r="E95"/>
  <c r="F95"/>
  <c r="F94"/>
  <c r="G95"/>
  <c r="H95"/>
  <c r="E96"/>
  <c r="F96"/>
  <c r="H96"/>
  <c r="E97"/>
  <c r="F97"/>
  <c r="F98"/>
  <c r="F99"/>
  <c r="F100"/>
  <c r="F101"/>
  <c r="F102"/>
  <c r="F103"/>
  <c r="F104"/>
  <c r="E105"/>
  <c r="F105"/>
  <c r="G105"/>
  <c r="H105"/>
  <c r="E106"/>
  <c r="F106"/>
  <c r="G106"/>
  <c r="H106"/>
  <c r="F107"/>
  <c r="E108"/>
  <c r="F108"/>
  <c r="E109"/>
  <c r="F109"/>
  <c r="F110"/>
  <c r="E111"/>
  <c r="F111"/>
  <c r="E112"/>
  <c r="F112"/>
  <c r="H112"/>
  <c r="E113"/>
  <c r="F113"/>
  <c r="H113"/>
  <c r="E114"/>
  <c r="F114"/>
  <c r="E115"/>
  <c r="G115"/>
  <c r="H115"/>
  <c r="F116"/>
  <c r="F115"/>
  <c r="F117"/>
  <c r="F118"/>
  <c r="G16" i="30"/>
  <c r="H16"/>
  <c r="F17"/>
  <c r="F18"/>
  <c r="F19"/>
  <c r="F20"/>
  <c r="F22"/>
  <c r="F23"/>
  <c r="F24"/>
  <c r="F25"/>
  <c r="F26"/>
  <c r="F27"/>
  <c r="F28"/>
  <c r="F29"/>
  <c r="F30"/>
  <c r="F31"/>
  <c r="F32"/>
  <c r="F33"/>
  <c r="F34"/>
  <c r="F35"/>
  <c r="F37"/>
  <c r="E38"/>
  <c r="E40"/>
  <c r="G38"/>
  <c r="H38"/>
  <c r="F39"/>
  <c r="F38"/>
  <c r="F40"/>
  <c r="G40"/>
  <c r="H40"/>
  <c r="G17" i="20"/>
  <c r="H17"/>
  <c r="F18"/>
  <c r="F19"/>
  <c r="F20"/>
  <c r="F21"/>
  <c r="F22"/>
  <c r="F23"/>
  <c r="F24"/>
  <c r="F25"/>
  <c r="F26"/>
  <c r="F27"/>
  <c r="F28"/>
  <c r="F29"/>
  <c r="F30"/>
  <c r="F31"/>
  <c r="F32"/>
  <c r="F35"/>
  <c r="F36"/>
  <c r="F38"/>
  <c r="E40"/>
  <c r="E39"/>
  <c r="F42"/>
  <c r="F43"/>
  <c r="F44"/>
  <c r="F45"/>
  <c r="F46"/>
  <c r="F47"/>
  <c r="E48"/>
  <c r="E41"/>
  <c r="E67"/>
  <c r="G48"/>
  <c r="G41"/>
  <c r="H48"/>
  <c r="H41"/>
  <c r="F50"/>
  <c r="F48"/>
  <c r="F41"/>
  <c r="F67"/>
  <c r="F60"/>
  <c r="G63"/>
  <c r="G62"/>
  <c r="E64"/>
  <c r="E63"/>
  <c r="E62"/>
  <c r="H64"/>
  <c r="H63"/>
  <c r="H62"/>
  <c r="G65"/>
  <c r="G67"/>
  <c r="F66"/>
  <c r="F65"/>
  <c r="H65"/>
  <c r="H67"/>
  <c r="E18" i="29"/>
  <c r="H18"/>
  <c r="G19"/>
  <c r="G20"/>
  <c r="G21"/>
  <c r="G22"/>
  <c r="G23"/>
  <c r="G24"/>
  <c r="G25"/>
  <c r="G26"/>
  <c r="G27"/>
  <c r="G28"/>
  <c r="G29"/>
  <c r="G30"/>
  <c r="G31"/>
  <c r="H31"/>
  <c r="E32"/>
  <c r="F32"/>
  <c r="G32"/>
  <c r="H32"/>
  <c r="E34"/>
  <c r="F34"/>
  <c r="E35"/>
  <c r="F35"/>
  <c r="G35"/>
  <c r="H35"/>
  <c r="E37"/>
  <c r="F37"/>
  <c r="F31"/>
  <c r="F70"/>
  <c r="G37"/>
  <c r="H37"/>
  <c r="E39"/>
  <c r="E31"/>
  <c r="F39"/>
  <c r="G39"/>
  <c r="H39"/>
  <c r="E45"/>
  <c r="G45"/>
  <c r="H45"/>
  <c r="E46"/>
  <c r="F46"/>
  <c r="F45"/>
  <c r="G46"/>
  <c r="H46"/>
  <c r="E59"/>
  <c r="F61"/>
  <c r="F62"/>
  <c r="G62"/>
  <c r="H62"/>
  <c r="E66"/>
  <c r="F66"/>
  <c r="E67"/>
  <c r="F67"/>
  <c r="E68"/>
  <c r="E62"/>
  <c r="F68"/>
  <c r="G68"/>
  <c r="H68"/>
  <c r="H70"/>
  <c r="C14" i="22"/>
  <c r="C15"/>
  <c r="C17"/>
  <c r="C18"/>
  <c r="C23"/>
  <c r="C27"/>
  <c r="C49"/>
  <c r="C35"/>
  <c r="C39"/>
  <c r="C32"/>
  <c r="C43"/>
  <c r="C46"/>
  <c r="F52" i="6"/>
  <c r="G44" i="15"/>
  <c r="E46"/>
  <c r="G18" i="29"/>
  <c r="G70"/>
  <c r="F72" i="17"/>
  <c r="F64"/>
  <c r="G119"/>
  <c r="E70" i="29"/>
  <c r="E17" i="20"/>
  <c r="F39"/>
  <c r="E65"/>
  <c r="F64"/>
  <c r="F63"/>
  <c r="F62"/>
  <c r="F17"/>
  <c r="E44" i="15"/>
  <c r="C52" i="6"/>
  <c r="E94" i="17"/>
  <c r="E16" i="30"/>
  <c r="F16"/>
  <c r="F50" i="17"/>
  <c r="E45"/>
  <c r="F47"/>
  <c r="F45"/>
  <c r="H119"/>
  <c r="F28"/>
  <c r="D52" i="6"/>
  <c r="E35" i="15"/>
  <c r="E33"/>
  <c r="E22"/>
  <c r="E17"/>
  <c r="F119" i="17"/>
  <c r="E119"/>
  <c r="E48" i="15"/>
</calcChain>
</file>

<file path=xl/sharedStrings.xml><?xml version="1.0" encoding="utf-8"?>
<sst xmlns="http://schemas.openxmlformats.org/spreadsheetml/2006/main" count="1198" uniqueCount="436">
  <si>
    <t>Eil.Nr.</t>
  </si>
  <si>
    <t>Programos Nr.</t>
  </si>
  <si>
    <t>Funkcinis kodas</t>
  </si>
  <si>
    <t>Iš viso</t>
  </si>
  <si>
    <t>Iš jų:</t>
  </si>
  <si>
    <t>2</t>
  </si>
  <si>
    <t>4</t>
  </si>
  <si>
    <t>Prienų rajono savivaldybės tarybos</t>
  </si>
  <si>
    <t>darbo užmokesčiui</t>
  </si>
  <si>
    <t>02</t>
  </si>
  <si>
    <t>01</t>
  </si>
  <si>
    <t>Ugdymo kokybės ir mokymosi aplinkos užtikrinimo programa</t>
  </si>
  <si>
    <t>Prienų ,,Žiburio“ gimnazija</t>
  </si>
  <si>
    <t>Prienų r. Išlaužo pagrindinė mokykla</t>
  </si>
  <si>
    <t>Prienų lopšelis-darželis ,,Gintarėlis“</t>
  </si>
  <si>
    <t>Prienų lopšelis-darželis ,,Pasaka“</t>
  </si>
  <si>
    <t>Socialinės paramos ir sveikatos apsaugos paslaugų kokybės gerinimo programa</t>
  </si>
  <si>
    <t>Prienų rajono savivaldybės socialinių paslaugų centras</t>
  </si>
  <si>
    <t>Prienų rajono savivaldybės administracija</t>
  </si>
  <si>
    <t>04</t>
  </si>
  <si>
    <t>Savivaldybės pagrindinių funkcijų vykdymo ir valdymo tobulinimo programa</t>
  </si>
  <si>
    <t>Prienų rajono priešgaisrinė tarnyba</t>
  </si>
  <si>
    <t>05</t>
  </si>
  <si>
    <t>02.01</t>
  </si>
  <si>
    <t>02.02</t>
  </si>
  <si>
    <t>02.03</t>
  </si>
  <si>
    <t>04.01</t>
  </si>
  <si>
    <t>04.02</t>
  </si>
  <si>
    <t>05.01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</si>
  <si>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</si>
  <si>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</si>
  <si>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</si>
  <si>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</si>
  <si>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</si>
  <si>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</si>
  <si>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</si>
  <si>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</si>
  <si>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</si>
  <si>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</si>
  <si>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</si>
  <si>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</si>
  <si>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</si>
  <si>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</si>
  <si>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</si>
  <si>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</si>
  <si>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</si>
  <si>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</si>
  <si>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</si>
  <si>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</si>
  <si>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______________________</t>
  </si>
  <si>
    <t>Programa / Asignavimų valdytojas</t>
  </si>
  <si>
    <t>ilgalaikiam turtui</t>
  </si>
  <si>
    <t>01.21</t>
  </si>
  <si>
    <t>Prienų meno mokykla</t>
  </si>
  <si>
    <t>03</t>
  </si>
  <si>
    <t>Prienų krašto muziejus</t>
  </si>
  <si>
    <t>Jiezno kultūros ir laisvalaikio centras</t>
  </si>
  <si>
    <t>Veiverių kultūros ir laisvalaikio centras</t>
  </si>
  <si>
    <t>03.01</t>
  </si>
  <si>
    <t>03.02</t>
  </si>
  <si>
    <t>03.03</t>
  </si>
  <si>
    <t>03.04</t>
  </si>
  <si>
    <t>03.05</t>
  </si>
  <si>
    <t>03.06</t>
  </si>
  <si>
    <t>03.07</t>
  </si>
  <si>
    <t>Savivaldybės biudžeto asignavimai</t>
  </si>
  <si>
    <t>Prienų r. sav. kūno kultūros ir sporto centras</t>
  </si>
  <si>
    <t>04.03</t>
  </si>
  <si>
    <t>04.04</t>
  </si>
  <si>
    <t>Prienų rajono savivaldybės administracija:</t>
  </si>
  <si>
    <t xml:space="preserve">09 </t>
  </si>
  <si>
    <t>09</t>
  </si>
  <si>
    <t>10</t>
  </si>
  <si>
    <t>03.08</t>
  </si>
  <si>
    <t>Prienų kultūros ir laisvalaikio centras</t>
  </si>
  <si>
    <t>08</t>
  </si>
  <si>
    <t>06</t>
  </si>
  <si>
    <t>07</t>
  </si>
  <si>
    <t>Savivaldybės administracija</t>
  </si>
  <si>
    <t>Investicijų programa</t>
  </si>
  <si>
    <t>07.01</t>
  </si>
  <si>
    <t>06.01</t>
  </si>
  <si>
    <t>Prienų globos namai</t>
  </si>
  <si>
    <t>Eil. 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</si>
  <si>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</si>
  <si>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</si>
  <si>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</si>
  <si>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</si>
  <si>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</si>
  <si>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</si>
  <si>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</si>
  <si>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</si>
  <si>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</si>
  <si>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</si>
  <si>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</si>
  <si>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</si>
  <si>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</si>
  <si>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</si>
  <si>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</si>
  <si>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</si>
  <si>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</si>
  <si>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</si>
  <si>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</si>
  <si>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</si>
  <si>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</si>
  <si>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</si>
  <si>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</si>
  <si>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</si>
  <si>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</si>
  <si>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</si>
  <si>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</si>
  <si>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Savivaldybės administracija:</t>
  </si>
  <si>
    <t>Aplinkos apsaugos, verslo rėmimo ir kaimo plėtros programa</t>
  </si>
  <si>
    <t>Programa / Finansavimo šaltiniai</t>
  </si>
  <si>
    <t>Biudžeto lėšos</t>
  </si>
  <si>
    <t>Valstybinėms funkcijoms atlikti</t>
  </si>
  <si>
    <t>Biudžetinių įstaigų pajamos</t>
  </si>
  <si>
    <t>Asignavimų valdytojas</t>
  </si>
  <si>
    <t>savivaldybės administracija</t>
  </si>
  <si>
    <t>Prienų r. sav. socialinių paslaugų centras</t>
  </si>
  <si>
    <t>Prienų lopšelis-darželis ,,Saulutė“</t>
  </si>
  <si>
    <t>jaunimo veiklos aktyvinimas</t>
  </si>
  <si>
    <t>kultūros paveldo objektų tvarkymas</t>
  </si>
  <si>
    <t>nekilnojamojo turto įteisinimas</t>
  </si>
  <si>
    <t>socialinio būsto atnaujinimas ir plėtra</t>
  </si>
  <si>
    <t>išlaidoms</t>
  </si>
  <si>
    <t>iš viso</t>
  </si>
  <si>
    <t>Asignavimai</t>
  </si>
  <si>
    <t>teritorijų planavimas</t>
  </si>
  <si>
    <t>smulkaus ir vidutinio verslo subjektų rėmimas</t>
  </si>
  <si>
    <t>viešosios tvarkos užtikrinimas ir prevencija</t>
  </si>
  <si>
    <t>mero fondas</t>
  </si>
  <si>
    <t>02.04</t>
  </si>
  <si>
    <t>Balbieriškio kultūros ir laisvalaikio centras</t>
  </si>
  <si>
    <t>Iš viso asignavimų</t>
  </si>
  <si>
    <t>8 priedas</t>
  </si>
  <si>
    <t>3 priedas</t>
  </si>
  <si>
    <t>9 priedas</t>
  </si>
  <si>
    <t>7 priedas</t>
  </si>
  <si>
    <t>I.</t>
  </si>
  <si>
    <t>MOKESČIAI:</t>
  </si>
  <si>
    <t>Pajamų ir pelno mokesčiai iš viso:</t>
  </si>
  <si>
    <t>1.1.</t>
  </si>
  <si>
    <t>gyventojų pajamų mokestis (gautas iš VMI)</t>
  </si>
  <si>
    <t>1.2.</t>
  </si>
  <si>
    <t>1.3.</t>
  </si>
  <si>
    <t>2.1.</t>
  </si>
  <si>
    <t>2.2.</t>
  </si>
  <si>
    <t>fizinių asmenų</t>
  </si>
  <si>
    <t>2.3.</t>
  </si>
  <si>
    <t>juridinių asmenų</t>
  </si>
  <si>
    <t>paveldimo turto mokestis</t>
  </si>
  <si>
    <t>nekilnojamojo turto mokestis</t>
  </si>
  <si>
    <t>Prekių ir paslaugų mokesčiai:</t>
  </si>
  <si>
    <t>3.1.</t>
  </si>
  <si>
    <t>mokestis už aplinkos teršimą</t>
  </si>
  <si>
    <t>3.2.</t>
  </si>
  <si>
    <t>valstybės rinkliavos</t>
  </si>
  <si>
    <t>3.3.</t>
  </si>
  <si>
    <t>vietinės rinkliavos</t>
  </si>
  <si>
    <t>II.</t>
  </si>
  <si>
    <t>valstybinėms (perduotoms savivaldybėms) funkcijoms atlikti</t>
  </si>
  <si>
    <t>kita tikslinė dotacija</t>
  </si>
  <si>
    <t>III.</t>
  </si>
  <si>
    <t>KITOS PAJAMOS:</t>
  </si>
  <si>
    <t>nuomos mokestis už valstybinę žemę ir valstybinius vidaus vandenų telkinius</t>
  </si>
  <si>
    <t>mokesčiai už valstybinius gamtos išteklius</t>
  </si>
  <si>
    <t>mokestis už medžiojamųjų gyvūnų išteklius</t>
  </si>
  <si>
    <t>Pajamos už prekes ir paslaugas:</t>
  </si>
  <si>
    <t>įmokos už išlaikymą švietimo, socialinės apsaugos ir kitose įstaigose</t>
  </si>
  <si>
    <t>Pajamos iš baudų ir konfiskacijos:</t>
  </si>
  <si>
    <t>pajamos iš baudų ir konfiskacijos</t>
  </si>
  <si>
    <t>Kitos neišvardintos pajamos</t>
  </si>
  <si>
    <t>Ilgalaikio materialiojo turto realizavimo pajamos:</t>
  </si>
  <si>
    <t>žemės ir žemės gelmių išteklių realizavimo pajamos</t>
  </si>
  <si>
    <t>kito ilgalaikio materialiojo turto realizavimo pajamos</t>
  </si>
  <si>
    <t>IV.</t>
  </si>
  <si>
    <t>IŠ VISO PAJAMŲ</t>
  </si>
  <si>
    <t>___________________________</t>
  </si>
  <si>
    <t>Pajamų pavadinimas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</si>
  <si>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</si>
  <si>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</si>
  <si>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</si>
  <si>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</si>
  <si>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</si>
  <si>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</si>
  <si>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</si>
  <si>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</si>
  <si>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</si>
  <si>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</si>
  <si>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</si>
  <si>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</si>
  <si>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</si>
  <si>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</si>
  <si>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</si>
  <si>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</si>
  <si>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</si>
  <si>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</si>
  <si>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</si>
  <si>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</si>
  <si>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</si>
  <si>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</si>
  <si>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</si>
  <si>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</si>
  <si>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</si>
  <si>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</si>
  <si>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</si>
  <si>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</si>
  <si>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</si>
  <si>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</si>
  <si>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</si>
  <si>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</si>
  <si>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</si>
  <si>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</si>
  <si>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</si>
  <si>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</si>
  <si>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</si>
  <si>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</si>
  <si>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</si>
  <si>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</si>
  <si>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</si>
  <si>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</si>
  <si>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</si>
  <si>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</si>
  <si>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</si>
  <si>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</si>
  <si>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</si>
  <si>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</si>
  <si>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77.</t>
  </si>
  <si>
    <t>2.1.1.</t>
  </si>
  <si>
    <t>2.1.2.</t>
  </si>
  <si>
    <t>Prienų r. sav. visuomenės sveikatos biuras</t>
  </si>
  <si>
    <t>Stakliškių kultūros ir laisvalaikio centras</t>
  </si>
  <si>
    <t>Prienų r. sav. kontrolės ir audito tarnyba</t>
  </si>
  <si>
    <t>Prienų r. sav. administracijos Finansų skyrius</t>
  </si>
  <si>
    <t>Viešosios infrastruktūros ir priežiūros plėtros programa</t>
  </si>
  <si>
    <r>
      <t>Turto mokesčiai</t>
    </r>
    <r>
      <rPr>
        <sz val="10"/>
        <rFont val="Times New Roman"/>
        <family val="1"/>
        <charset val="186"/>
      </rPr>
      <t>:</t>
    </r>
  </si>
  <si>
    <t>Prienų r. sav. priešgaisrinė tarnyba</t>
  </si>
  <si>
    <t>Prienų Justino Marcinkevičiaus viešoji biblioteka</t>
  </si>
  <si>
    <t xml:space="preserve"> </t>
  </si>
  <si>
    <t>76.</t>
  </si>
  <si>
    <t>78.</t>
  </si>
  <si>
    <t>Prienų r. Veiverių Antano Kučingio meno mokykla</t>
  </si>
  <si>
    <t>Prienų r. Jiezno gimnazija</t>
  </si>
  <si>
    <t>Prienų r. Veiverių Tomo Žilinsko gimnazija</t>
  </si>
  <si>
    <t>Prienų r. Naujosios Ūtos pagrindinė mokykla</t>
  </si>
  <si>
    <t>Prienų r. Pakuonio pagrindinė mokykla</t>
  </si>
  <si>
    <t>Prienų r. Skriaudžių pagrindinė mokykla</t>
  </si>
  <si>
    <t>Prienų r. Jiezno muzikos mokykla</t>
  </si>
  <si>
    <t xml:space="preserve">Prienų r. Jiezno muzikos mokykla </t>
  </si>
  <si>
    <t>79.</t>
  </si>
  <si>
    <t>80.</t>
  </si>
  <si>
    <t>81.</t>
  </si>
  <si>
    <t>Prienų r. Balbieriškio pagrindinė mokykla</t>
  </si>
  <si>
    <t>savivaldos institucija (taryba)</t>
  </si>
  <si>
    <t>V.</t>
  </si>
  <si>
    <t>Prienų r. Stakliškių gimnazija</t>
  </si>
  <si>
    <t>Prienų ,,Ąžuolo“ progimnazija</t>
  </si>
  <si>
    <t>Prienų ,,Revuonos “ pagrindinė mokykla</t>
  </si>
  <si>
    <t>Prienų r. Šilavoto pagrindinė mokykla</t>
  </si>
  <si>
    <t>(eurais)</t>
  </si>
  <si>
    <t>Prienų ,,Revuonos“ pagrindinė mokykla</t>
  </si>
  <si>
    <t>socialinės pašalpos</t>
  </si>
  <si>
    <t>vadybinės ir pedagoginės veiklos kokybės tobulinimas</t>
  </si>
  <si>
    <t>vaikų socializacija</t>
  </si>
  <si>
    <t>studijų rėmimas</t>
  </si>
  <si>
    <t>suteiktų priėmimo-skubios pagalbos paslaugų dalinis finansavimas</t>
  </si>
  <si>
    <t>socialinis rėmimas</t>
  </si>
  <si>
    <t>socialinis rėmimas (paštas)</t>
  </si>
  <si>
    <t>vaikų išlaikymas globos įstaigose</t>
  </si>
  <si>
    <t xml:space="preserve">kompensacijų mokėjimas </t>
  </si>
  <si>
    <t>lengvatinis neįgaliųjų vežimas</t>
  </si>
  <si>
    <t>įvaizdžio kūrimas ir valdymas</t>
  </si>
  <si>
    <t>turizmo veiklos skatinimas</t>
  </si>
  <si>
    <t>nuostolių dengimas</t>
  </si>
  <si>
    <t>aplinkos apsaugos specialusis rėmimas</t>
  </si>
  <si>
    <t>komunalinių atliekų surinkimas ir tvarkymas</t>
  </si>
  <si>
    <t>82.</t>
  </si>
  <si>
    <t>83.</t>
  </si>
  <si>
    <t>84.</t>
  </si>
  <si>
    <t>85.</t>
  </si>
  <si>
    <t>86.</t>
  </si>
  <si>
    <t>87.</t>
  </si>
  <si>
    <t>daugiabučių namų modernizavimas</t>
  </si>
  <si>
    <t>89.</t>
  </si>
  <si>
    <t>komunalinio ūkio objektų priežiūra ir plėtra</t>
  </si>
  <si>
    <t>90.</t>
  </si>
  <si>
    <t>gabių mokinių skatinimas</t>
  </si>
  <si>
    <t>kompensacijų mokėjimas</t>
  </si>
  <si>
    <t>Kitos tikslinės dotacijos</t>
  </si>
  <si>
    <t>Europos Sąjungos finansinė parama</t>
  </si>
  <si>
    <t xml:space="preserve">Pajamos </t>
  </si>
  <si>
    <t>1 priedas</t>
  </si>
  <si>
    <t>Palūkanos už depozitus</t>
  </si>
  <si>
    <t>4.1.</t>
  </si>
  <si>
    <t>suaugusių asmenų išlaikymas globos įstaigose</t>
  </si>
  <si>
    <t>neįgaliųjų draugijos autobuso išlaikymas</t>
  </si>
  <si>
    <t>direktoriaus rezervas</t>
  </si>
  <si>
    <t>IR VALSTYBĖS KAPITALO INVESTICIJOS</t>
  </si>
  <si>
    <t>Nuomos pajamos:</t>
  </si>
  <si>
    <t>2 priedas</t>
  </si>
  <si>
    <t>Valstybinėms (perduotoms savivaldybėms) funkcijoms</t>
  </si>
  <si>
    <t>maitinimui</t>
  </si>
  <si>
    <t>10.4.1.40.</t>
  </si>
  <si>
    <t>Socialinių paslaugų asmenims su negalia plėtra</t>
  </si>
  <si>
    <t>10.01.02.02.</t>
  </si>
  <si>
    <t>Darbas su rizikos šeimomis</t>
  </si>
  <si>
    <t>10.04.01.01.</t>
  </si>
  <si>
    <t>Visuomenės sveikatos stiprinimas</t>
  </si>
  <si>
    <t>Parama mirties atveju</t>
  </si>
  <si>
    <t>10.03.01.01.</t>
  </si>
  <si>
    <t>Socialinė parama mokiniams</t>
  </si>
  <si>
    <t>10.04.01.40.</t>
  </si>
  <si>
    <t>Neveiksnių asmenų būklės peržiūrėjimui užtikrinti</t>
  </si>
  <si>
    <t>07.06.01.02.</t>
  </si>
  <si>
    <t>Archyvinių dokumentų tvarkymas</t>
  </si>
  <si>
    <t>01.03.03.02.</t>
  </si>
  <si>
    <t>Civilinės būklės aktų registravimas</t>
  </si>
  <si>
    <t>01.06.01.02.</t>
  </si>
  <si>
    <t>Civilinės saugos organizavimas</t>
  </si>
  <si>
    <t>02.02.01.01.</t>
  </si>
  <si>
    <t>Valstybinės kalbos vartojimo ir taisyklingumo kontrolė</t>
  </si>
  <si>
    <t>Mobilizacijos administravimas</t>
  </si>
  <si>
    <t>02.01.01.04.</t>
  </si>
  <si>
    <t>10.09.01.01.</t>
  </si>
  <si>
    <t>Jaunimo teisių apsauga</t>
  </si>
  <si>
    <t>Pirminė teisinė pagalba</t>
  </si>
  <si>
    <t>Duomenų teikimas Valstybės suteiktos pagalbos registrui</t>
  </si>
  <si>
    <t>Gyventojų registro tvarkymas ir duomenų valstybės registrui teikimas</t>
  </si>
  <si>
    <t>Gyvenamosios vietos deklaravimas</t>
  </si>
  <si>
    <t xml:space="preserve">Valstybinės žemės ir kito valstybinio turto valdymas, naudojimas ir disponavimas patikėjimo teise </t>
  </si>
  <si>
    <t>Žemės ūkio funkcijoms vykdyti</t>
  </si>
  <si>
    <t>04.02.01.04.</t>
  </si>
  <si>
    <t>Melioracijai ir dirvoms kalkinti</t>
  </si>
  <si>
    <t>04.02.01.01.</t>
  </si>
  <si>
    <t>03.02.01.01.</t>
  </si>
  <si>
    <t>10.05.01.01.</t>
  </si>
  <si>
    <t>06.02</t>
  </si>
  <si>
    <t>06.03</t>
  </si>
  <si>
    <t>Darbo rinkos politikos rengimas ir įgyvendinimas</t>
  </si>
  <si>
    <t>4 priedas</t>
  </si>
  <si>
    <t xml:space="preserve">Prienų „Žiburio“ gimnazija </t>
  </si>
  <si>
    <t>Prienų r. Veiverių Tomo  Žilinsko gimnazija</t>
  </si>
  <si>
    <t>Prienų „Ąžuolo“ progimnazija</t>
  </si>
  <si>
    <t>Prienų „Revuonos“ pagrindinė mokykla</t>
  </si>
  <si>
    <t>Prienų r. Naujosios Ūtos  pagrindinė mokykla</t>
  </si>
  <si>
    <t>Prienų r. Pakuonio pagrindinė  mokykla</t>
  </si>
  <si>
    <t>Prienų r. Skriaudžių pagrindinė  mokykla</t>
  </si>
  <si>
    <t>Prienų r. Šilavoto pagrindinė  mokykla</t>
  </si>
  <si>
    <t>Prienų lopšelis-darželis „Gintarėlis“</t>
  </si>
  <si>
    <t>Prienų lopšelis-darželis „Pasaka“</t>
  </si>
  <si>
    <t>Prienų lopšelis-darželis „Saulutė“</t>
  </si>
  <si>
    <t>_____________________________</t>
  </si>
  <si>
    <t>6 priedas</t>
  </si>
  <si>
    <t>SPECIALIOJI TIKSLINĖ DOTACIJA, IŠ JOS:</t>
  </si>
  <si>
    <t>Prienų švietimo pagalbos tarnyba</t>
  </si>
  <si>
    <t>07.04.01.02.</t>
  </si>
  <si>
    <t>biudžetinių įstaigų pajamos už prekes ir paslaugas</t>
  </si>
  <si>
    <t>06.04</t>
  </si>
  <si>
    <t>01.20.</t>
  </si>
  <si>
    <t>vaikų globėjų išlaidos</t>
  </si>
  <si>
    <t>savivaldybės pastatų remontas, priežiūra ir plėtra</t>
  </si>
  <si>
    <t>kaimo plėtros rėmimas</t>
  </si>
  <si>
    <t>VI.</t>
  </si>
  <si>
    <t>10.07.01.01.</t>
  </si>
  <si>
    <t>Būsto nuomos mokesčio daliai kompensuoti</t>
  </si>
  <si>
    <t>91.</t>
  </si>
  <si>
    <t>88.</t>
  </si>
  <si>
    <t>Prienų r. Jiezno paramos šeimai centras</t>
  </si>
  <si>
    <t>Erdvinių duomenų rinkinio tvarkymo funkcijai atlikti</t>
  </si>
  <si>
    <t>04.02.01.02.</t>
  </si>
  <si>
    <t>06.05</t>
  </si>
  <si>
    <t>06.06</t>
  </si>
  <si>
    <t xml:space="preserve"> neįgaliųjų būsto pritaikymas</t>
  </si>
  <si>
    <t>slaugos ligoninėse esančių gyventojų išlaikymas</t>
  </si>
  <si>
    <t>mokymo lėšos</t>
  </si>
  <si>
    <t>EUROPOS SĄJUNGOS FONDŲ LĖŠOS</t>
  </si>
  <si>
    <t>Mokymo lėšos</t>
  </si>
  <si>
    <t>Praėjusių metų nepanaudota pajamų dalis</t>
  </si>
  <si>
    <t>perskirstomos ugdymo lėšos (savivaldybės dalis pagal ML metodiką)</t>
  </si>
  <si>
    <t>pajamos už ilgalaikio ir trumpalaikio materialiojo turto nuomą</t>
  </si>
  <si>
    <t>(PERDUOTOMS SAVIVALDYBĖMS) FUNKCIJOMS ATLIKTI</t>
  </si>
  <si>
    <t>2020 m. sausio 30 d.</t>
  </si>
  <si>
    <t xml:space="preserve">PRIENŲ RAJONO SAVIVALDYBĖS 2020 METŲ BIUDŽETO IŠLAIDOS                                                                                                                PAGAL  PROGRAMAS IR FINANSAVIMO ŠALTINIUS </t>
  </si>
  <si>
    <t>PRIENŲ RAJONO SAVIVALDYBĖS 2020 METŲ BIUDŽETO PAJAMŲ PLANAS</t>
  </si>
  <si>
    <t xml:space="preserve">PRIENŲ RAJONO SAVIVALDYBĖS 2020 METŲ BIUDŽETO LĖŠOS VALSTYBINĖMS                                                                (PERDUOTOMS SAVIVALDYBEI) FUNKCIJOMS ATLIKTI </t>
  </si>
  <si>
    <t xml:space="preserve">PRIENŲ RAJONO SAVIVALDYBĖS 2020 METŲ KITA TIKSLINĖ DOTACIJA                                                                                                                                    </t>
  </si>
  <si>
    <t>PRIENŲ RAJONO SAVIVALDYBĖS 2020 METŲ MOKYMO LĖŠOS</t>
  </si>
  <si>
    <t>Dividentai ir kitos pelno įmokos</t>
  </si>
  <si>
    <t>PRIENŲ RAJONO SAVIVALDYBĖS 2020 METŲ BIUDŽETO IŠLAIDOS SAVARANKIŠKOSIOMS FUNKCIJOMS VYKDYTI PAGAL ASIGNAVIMŲ VALDYTOJUS</t>
  </si>
  <si>
    <t>savarankiško gyvenimo namai</t>
  </si>
  <si>
    <t>kūno kultūros ir sporto veiklos aktyvinimas</t>
  </si>
  <si>
    <t>nevyriausybinių organizacijų veiklos aktyvinimas</t>
  </si>
  <si>
    <t>religinių bendruomenių ir bendrijų rėmimas</t>
  </si>
  <si>
    <t>92.</t>
  </si>
  <si>
    <t>93.</t>
  </si>
  <si>
    <t>94.</t>
  </si>
  <si>
    <t>4.2.</t>
  </si>
  <si>
    <t>4.3.</t>
  </si>
  <si>
    <t>5.1.</t>
  </si>
  <si>
    <t>7.1.</t>
  </si>
  <si>
    <t>7.2.</t>
  </si>
  <si>
    <t>PRIENŲ RAJONO SAVIVALDYBĖS 2020 METŲ EUROPOS SĄJUNGOS FINANSINĖ PARAMA</t>
  </si>
  <si>
    <t xml:space="preserve">PRIENŲ RAJONO SAVIVALDYBĖS 2020 METŲ BIUDŽETO IŠLAIDOS                                                                                        PAGAL ASIGNAVIMŲ VALDYTOJUS </t>
  </si>
  <si>
    <t>Prienų rajono ir miesto VVG vietos plėtros projektų finansavimas</t>
  </si>
  <si>
    <t>sprendimo Nr. T3-3</t>
  </si>
  <si>
    <t>sprendimo Nr.T3-3</t>
  </si>
  <si>
    <t>(Prienų rajono savivaldybės  tarybos</t>
  </si>
  <si>
    <t>07.02</t>
  </si>
  <si>
    <t>07.03</t>
  </si>
  <si>
    <t>95.</t>
  </si>
  <si>
    <t>96.</t>
  </si>
  <si>
    <t>programos ,,Erasmus+“ projektas</t>
  </si>
  <si>
    <t>tarpinstitucinio koordinatoriaus pareigybei išlaikyti</t>
  </si>
  <si>
    <t xml:space="preserve">keleivių vežimas vietinio reguliaraus susisiekimo maršrutais </t>
  </si>
  <si>
    <t>sporto projektų finansavimas</t>
  </si>
  <si>
    <t>vietinės reikšmės kelių (gatvių) rekonstravimas, plėtra ir priežiūra</t>
  </si>
  <si>
    <t>Kultūros, sporto, jaunimo ir bendruomenės veiklos aktyvinimo programa</t>
  </si>
  <si>
    <t>02.05</t>
  </si>
  <si>
    <t>regioninės plėtros programų įgyvendinimas</t>
  </si>
  <si>
    <t>97.</t>
  </si>
  <si>
    <t>98.</t>
  </si>
  <si>
    <t>99.</t>
  </si>
  <si>
    <t>100.</t>
  </si>
  <si>
    <t>101.</t>
  </si>
  <si>
    <t>102.</t>
  </si>
  <si>
    <t>Prienų lopšelis-darželis ,,Saulutė “</t>
  </si>
  <si>
    <t>02.06</t>
  </si>
  <si>
    <t>02.07</t>
  </si>
  <si>
    <t>žemės mokestis:</t>
  </si>
  <si>
    <t>Prienų lopšelis-darželis ,,Gintarėlis “</t>
  </si>
  <si>
    <t>Prienų lopšelis-darželis ,,Pasaka “</t>
  </si>
  <si>
    <t>01.22</t>
  </si>
  <si>
    <t>2020 m. spalio 22 d.</t>
  </si>
  <si>
    <t>Prienų r. sav. Jiezno gimnazija</t>
  </si>
  <si>
    <t>sprendimo Nr. T3-239 redakcija)</t>
  </si>
</sst>
</file>

<file path=xl/styles.xml><?xml version="1.0" encoding="utf-8"?>
<styleSheet xmlns="http://schemas.openxmlformats.org/spreadsheetml/2006/main">
  <numFmts count="2">
    <numFmt numFmtId="170" formatCode="_-* #,##0.00\ &quot;Lt&quot;_-;\-* #,##0.00\ &quot;Lt&quot;_-;_-* &quot;-&quot;??\ &quot;Lt&quot;_-;_-@_-"/>
    <numFmt numFmtId="175" formatCode="0.0"/>
  </numFmts>
  <fonts count="9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277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75" fontId="2" fillId="0" borderId="4" xfId="0" applyNumberFormat="1" applyFont="1" applyFill="1" applyBorder="1" applyAlignment="1">
      <alignment wrapText="1"/>
    </xf>
    <xf numFmtId="175" fontId="2" fillId="0" borderId="1" xfId="0" applyNumberFormat="1" applyFont="1" applyFill="1" applyBorder="1" applyAlignment="1">
      <alignment horizontal="right"/>
    </xf>
    <xf numFmtId="175" fontId="2" fillId="0" borderId="5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/>
    </xf>
    <xf numFmtId="175" fontId="3" fillId="0" borderId="4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 vertical="top"/>
    </xf>
    <xf numFmtId="175" fontId="2" fillId="2" borderId="1" xfId="0" applyNumberFormat="1" applyFont="1" applyFill="1" applyBorder="1" applyAlignment="1">
      <alignment horizontal="right" vertical="top"/>
    </xf>
    <xf numFmtId="1" fontId="3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 vertical="top"/>
    </xf>
    <xf numFmtId="175" fontId="2" fillId="0" borderId="1" xfId="0" applyNumberFormat="1" applyFont="1" applyFill="1" applyBorder="1" applyAlignment="1">
      <alignment horizontal="right" vertical="top"/>
    </xf>
    <xf numFmtId="1" fontId="3" fillId="2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right"/>
    </xf>
    <xf numFmtId="49" fontId="2" fillId="0" borderId="1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2" fillId="0" borderId="0" xfId="0" applyFont="1"/>
    <xf numFmtId="49" fontId="3" fillId="0" borderId="0" xfId="0" applyNumberFormat="1" applyFont="1" applyFill="1" applyAlignment="1">
      <alignment wrapText="1"/>
    </xf>
    <xf numFmtId="175" fontId="3" fillId="0" borderId="2" xfId="0" applyNumberFormat="1" applyFont="1" applyFill="1" applyBorder="1" applyAlignment="1">
      <alignment wrapText="1"/>
    </xf>
    <xf numFmtId="49" fontId="2" fillId="0" borderId="7" xfId="0" applyNumberFormat="1" applyFont="1" applyFill="1" applyBorder="1" applyAlignment="1">
      <alignment horizontal="center" vertical="top"/>
    </xf>
    <xf numFmtId="175" fontId="2" fillId="0" borderId="5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right"/>
    </xf>
    <xf numFmtId="49" fontId="4" fillId="0" borderId="3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right"/>
    </xf>
    <xf numFmtId="175" fontId="4" fillId="0" borderId="4" xfId="0" applyNumberFormat="1" applyFont="1" applyFill="1" applyBorder="1" applyAlignment="1">
      <alignment wrapText="1"/>
    </xf>
    <xf numFmtId="175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right" vertical="top"/>
    </xf>
    <xf numFmtId="49" fontId="4" fillId="0" borderId="3" xfId="0" applyNumberFormat="1" applyFont="1" applyFill="1" applyBorder="1" applyAlignment="1">
      <alignment horizontal="center"/>
    </xf>
    <xf numFmtId="175" fontId="2" fillId="0" borderId="4" xfId="0" applyNumberFormat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 wrapText="1"/>
    </xf>
    <xf numFmtId="175" fontId="3" fillId="0" borderId="6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top" wrapText="1"/>
    </xf>
    <xf numFmtId="1" fontId="3" fillId="0" borderId="1" xfId="0" applyNumberFormat="1" applyFont="1" applyFill="1" applyBorder="1" applyAlignment="1">
      <alignment horizontal="right" vertical="top"/>
    </xf>
    <xf numFmtId="49" fontId="4" fillId="0" borderId="2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right" vertical="top"/>
    </xf>
    <xf numFmtId="175" fontId="4" fillId="2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center" vertical="top" wrapText="1"/>
    </xf>
    <xf numFmtId="0" fontId="6" fillId="0" borderId="0" xfId="0" applyFont="1"/>
    <xf numFmtId="175" fontId="4" fillId="0" borderId="2" xfId="0" applyNumberFormat="1" applyFont="1" applyFill="1" applyBorder="1" applyAlignment="1">
      <alignment wrapText="1"/>
    </xf>
    <xf numFmtId="0" fontId="7" fillId="0" borderId="0" xfId="0" applyFont="1"/>
    <xf numFmtId="0" fontId="3" fillId="0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right" vertical="center" wrapText="1"/>
    </xf>
    <xf numFmtId="1" fontId="3" fillId="0" borderId="2" xfId="0" applyNumberFormat="1" applyFont="1" applyFill="1" applyBorder="1" applyAlignment="1">
      <alignment horizontal="right"/>
    </xf>
    <xf numFmtId="1" fontId="3" fillId="0" borderId="2" xfId="0" applyNumberFormat="1" applyFont="1" applyFill="1" applyBorder="1" applyAlignment="1">
      <alignment horizontal="right" vertical="top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top" wrapText="1"/>
    </xf>
    <xf numFmtId="1" fontId="4" fillId="0" borderId="6" xfId="0" applyNumberFormat="1" applyFont="1" applyFill="1" applyBorder="1" applyAlignment="1">
      <alignment horizontal="right" vertical="top"/>
    </xf>
    <xf numFmtId="1" fontId="2" fillId="2" borderId="6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/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175" fontId="2" fillId="0" borderId="4" xfId="0" applyNumberFormat="1" applyFont="1" applyFill="1" applyBorder="1" applyAlignment="1">
      <alignment horizontal="left" wrapText="1"/>
    </xf>
    <xf numFmtId="170" fontId="0" fillId="0" borderId="0" xfId="1" applyFont="1"/>
    <xf numFmtId="0" fontId="4" fillId="0" borderId="0" xfId="0" applyFont="1" applyFill="1" applyAlignment="1">
      <alignment wrapText="1"/>
    </xf>
    <xf numFmtId="175" fontId="2" fillId="0" borderId="2" xfId="0" applyNumberFormat="1" applyFont="1" applyFill="1" applyBorder="1" applyAlignment="1">
      <alignment wrapText="1"/>
    </xf>
    <xf numFmtId="0" fontId="0" fillId="0" borderId="4" xfId="0" applyBorder="1"/>
    <xf numFmtId="0" fontId="2" fillId="0" borderId="0" xfId="0" applyFont="1" applyAlignment="1">
      <alignment horizontal="right"/>
    </xf>
    <xf numFmtId="1" fontId="2" fillId="0" borderId="6" xfId="0" applyNumberFormat="1" applyFont="1" applyFill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 vertical="top"/>
    </xf>
    <xf numFmtId="1" fontId="4" fillId="3" borderId="1" xfId="0" applyNumberFormat="1" applyFont="1" applyFill="1" applyBorder="1" applyAlignment="1">
      <alignment horizontal="right"/>
    </xf>
    <xf numFmtId="1" fontId="2" fillId="2" borderId="4" xfId="0" applyNumberFormat="1" applyFont="1" applyFill="1" applyBorder="1" applyAlignment="1"/>
    <xf numFmtId="1" fontId="2" fillId="2" borderId="2" xfId="0" applyNumberFormat="1" applyFont="1" applyFill="1" applyBorder="1" applyAlignment="1"/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top" wrapText="1"/>
    </xf>
    <xf numFmtId="175" fontId="4" fillId="0" borderId="1" xfId="0" applyNumberFormat="1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right" vertical="center" wrapText="1"/>
    </xf>
    <xf numFmtId="1" fontId="2" fillId="0" borderId="6" xfId="0" applyNumberFormat="1" applyFont="1" applyFill="1" applyBorder="1" applyAlignment="1">
      <alignment horizontal="right"/>
    </xf>
    <xf numFmtId="175" fontId="4" fillId="0" borderId="4" xfId="0" applyNumberFormat="1" applyFont="1" applyFill="1" applyBorder="1" applyAlignment="1">
      <alignment vertical="top" wrapText="1"/>
    </xf>
    <xf numFmtId="0" fontId="0" fillId="0" borderId="0" xfId="0" applyAlignment="1">
      <alignment horizontal="center"/>
    </xf>
    <xf numFmtId="49" fontId="2" fillId="0" borderId="1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2" xfId="0" applyBorder="1"/>
    <xf numFmtId="49" fontId="2" fillId="0" borderId="1" xfId="0" applyNumberFormat="1" applyFont="1" applyFill="1" applyBorder="1" applyAlignment="1">
      <alignment horizontal="right" vertical="top"/>
    </xf>
    <xf numFmtId="0" fontId="2" fillId="0" borderId="7" xfId="0" applyFont="1" applyFill="1" applyBorder="1" applyAlignment="1">
      <alignment vertical="top"/>
    </xf>
    <xf numFmtId="175" fontId="4" fillId="0" borderId="4" xfId="0" applyNumberFormat="1" applyFont="1" applyFill="1" applyBorder="1" applyAlignment="1">
      <alignment horizontal="left" wrapText="1"/>
    </xf>
    <xf numFmtId="0" fontId="4" fillId="0" borderId="7" xfId="0" applyFont="1" applyFill="1" applyBorder="1" applyAlignment="1">
      <alignment vertical="top"/>
    </xf>
    <xf numFmtId="175" fontId="2" fillId="2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/>
    <xf numFmtId="0" fontId="4" fillId="2" borderId="7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175" fontId="2" fillId="0" borderId="4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/>
    </xf>
    <xf numFmtId="1" fontId="2" fillId="3" borderId="1" xfId="0" applyNumberFormat="1" applyFont="1" applyFill="1" applyBorder="1" applyAlignment="1">
      <alignment horizontal="right" vertical="top"/>
    </xf>
    <xf numFmtId="0" fontId="0" fillId="0" borderId="6" xfId="0" applyBorder="1" applyAlignment="1">
      <alignment vertical="top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right" vertical="top"/>
    </xf>
    <xf numFmtId="175" fontId="4" fillId="0" borderId="5" xfId="0" applyNumberFormat="1" applyFont="1" applyFill="1" applyBorder="1" applyAlignment="1">
      <alignment wrapText="1"/>
    </xf>
    <xf numFmtId="0" fontId="2" fillId="0" borderId="1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right" vertical="center"/>
    </xf>
    <xf numFmtId="1" fontId="4" fillId="3" borderId="2" xfId="0" applyNumberFormat="1" applyFont="1" applyFill="1" applyBorder="1" applyAlignment="1">
      <alignment horizontal="right" vertical="center"/>
    </xf>
    <xf numFmtId="175" fontId="4" fillId="0" borderId="2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175" fontId="4" fillId="0" borderId="1" xfId="0" applyNumberFormat="1" applyFont="1" applyFill="1" applyBorder="1" applyAlignment="1">
      <alignment horizontal="right" vertical="top"/>
    </xf>
    <xf numFmtId="175" fontId="4" fillId="3" borderId="1" xfId="0" applyNumberFormat="1" applyFont="1" applyFill="1" applyBorder="1" applyAlignment="1">
      <alignment horizontal="right"/>
    </xf>
    <xf numFmtId="0" fontId="4" fillId="0" borderId="2" xfId="0" applyFont="1" applyBorder="1"/>
    <xf numFmtId="49" fontId="2" fillId="0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2" fillId="0" borderId="4" xfId="0" applyFont="1" applyBorder="1" applyAlignment="1"/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1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12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2" xfId="0" applyFont="1" applyBorder="1" applyAlignment="1">
      <alignment horizontal="righ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/>
    <xf numFmtId="0" fontId="3" fillId="0" borderId="2" xfId="0" applyFont="1" applyBorder="1"/>
    <xf numFmtId="1" fontId="2" fillId="3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 vertical="justify" wrapText="1"/>
    </xf>
    <xf numFmtId="0" fontId="4" fillId="0" borderId="2" xfId="0" applyFont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2" fillId="0" borderId="4" xfId="0" applyFont="1" applyBorder="1" applyAlignment="1">
      <alignment horizontal="right"/>
    </xf>
    <xf numFmtId="49" fontId="3" fillId="3" borderId="1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top" wrapText="1"/>
    </xf>
    <xf numFmtId="0" fontId="2" fillId="0" borderId="0" xfId="0" applyFont="1" applyFill="1" applyAlignment="1">
      <alignment horizontal="left"/>
    </xf>
    <xf numFmtId="175" fontId="4" fillId="0" borderId="2" xfId="0" applyNumberFormat="1" applyFont="1" applyFill="1" applyBorder="1" applyAlignment="1">
      <alignment vertical="top" wrapText="1"/>
    </xf>
    <xf numFmtId="49" fontId="2" fillId="0" borderId="12" xfId="0" applyNumberFormat="1" applyFont="1" applyFill="1" applyBorder="1" applyAlignment="1">
      <alignment horizontal="center" vertical="top"/>
    </xf>
    <xf numFmtId="49" fontId="3" fillId="0" borderId="12" xfId="0" applyNumberFormat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right" vertical="center" wrapText="1"/>
    </xf>
    <xf numFmtId="49" fontId="2" fillId="0" borderId="6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/>
    <xf numFmtId="1" fontId="2" fillId="0" borderId="1" xfId="0" applyNumberFormat="1" applyFont="1" applyFill="1" applyBorder="1" applyAlignment="1">
      <alignment horizontal="right" vertical="top" wrapText="1"/>
    </xf>
    <xf numFmtId="49" fontId="4" fillId="0" borderId="12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right" vertical="top" wrapText="1"/>
    </xf>
    <xf numFmtId="49" fontId="2" fillId="0" borderId="2" xfId="0" applyNumberFormat="1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2" fillId="0" borderId="7" xfId="0" applyNumberFormat="1" applyFont="1" applyFill="1" applyBorder="1" applyAlignment="1">
      <alignment horizontal="center" vertical="top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11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3" fillId="0" borderId="7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0" xfId="0" applyNumberFormat="1" applyFont="1" applyFill="1" applyAlignment="1">
      <alignment horizont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6" fillId="0" borderId="3" xfId="0" applyFont="1" applyBorder="1"/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3" fillId="0" borderId="1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9" fontId="2" fillId="0" borderId="12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49" fontId="2" fillId="0" borderId="11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 vertical="top"/>
    </xf>
    <xf numFmtId="49" fontId="3" fillId="0" borderId="11" xfId="0" applyNumberFormat="1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4"/>
  <sheetViews>
    <sheetView zoomScale="135" zoomScaleNormal="135" workbookViewId="0">
      <selection activeCell="C7" sqref="C7"/>
    </sheetView>
  </sheetViews>
  <sheetFormatPr defaultRowHeight="12.75"/>
  <cols>
    <col min="1" max="1" width="7.7109375" customWidth="1"/>
    <col min="2" max="2" width="57.7109375" customWidth="1"/>
    <col min="3" max="3" width="28" customWidth="1"/>
    <col min="4" max="4" width="9.42578125" bestFit="1" customWidth="1"/>
  </cols>
  <sheetData>
    <row r="1" spans="1:6" ht="15" customHeight="1">
      <c r="A1" s="47"/>
      <c r="B1" s="47"/>
      <c r="C1" s="35" t="s">
        <v>7</v>
      </c>
      <c r="D1" s="35"/>
      <c r="E1" s="35"/>
      <c r="F1" s="35"/>
    </row>
    <row r="2" spans="1:6" ht="15" customHeight="1">
      <c r="A2" s="47"/>
      <c r="B2" s="47"/>
      <c r="C2" s="35" t="s">
        <v>382</v>
      </c>
      <c r="D2" s="35"/>
      <c r="E2" s="35"/>
      <c r="F2" s="35"/>
    </row>
    <row r="3" spans="1:6" ht="15" customHeight="1">
      <c r="A3" s="47"/>
      <c r="B3" s="47"/>
      <c r="C3" s="35" t="s">
        <v>405</v>
      </c>
      <c r="D3" s="35"/>
      <c r="E3" s="35"/>
      <c r="F3" s="35"/>
    </row>
    <row r="4" spans="1:6" ht="15" customHeight="1">
      <c r="A4" s="47"/>
      <c r="B4" s="47"/>
      <c r="C4" s="16" t="s">
        <v>292</v>
      </c>
      <c r="D4" s="16"/>
      <c r="E4" s="16"/>
      <c r="F4" s="16"/>
    </row>
    <row r="5" spans="1:6" ht="15" customHeight="1">
      <c r="A5" s="47"/>
      <c r="B5" s="47"/>
      <c r="C5" s="16" t="s">
        <v>407</v>
      </c>
      <c r="D5" s="16"/>
      <c r="E5" s="16"/>
      <c r="F5" s="16"/>
    </row>
    <row r="6" spans="1:6" ht="15" customHeight="1">
      <c r="A6" s="47"/>
      <c r="B6" s="47"/>
      <c r="C6" s="16" t="s">
        <v>433</v>
      </c>
      <c r="D6" s="16"/>
      <c r="E6" s="16"/>
      <c r="F6" s="16"/>
    </row>
    <row r="7" spans="1:6" ht="15" customHeight="1">
      <c r="A7" s="47"/>
      <c r="B7" s="47"/>
      <c r="C7" s="16" t="s">
        <v>435</v>
      </c>
      <c r="D7" s="16"/>
      <c r="E7" s="16"/>
      <c r="F7" s="16"/>
    </row>
    <row r="8" spans="1:6" ht="15" customHeight="1">
      <c r="A8" s="47"/>
      <c r="B8" s="47"/>
    </row>
    <row r="9" spans="1:6">
      <c r="A9" s="219" t="s">
        <v>384</v>
      </c>
      <c r="B9" s="219"/>
      <c r="C9" s="219"/>
    </row>
    <row r="10" spans="1:6" ht="15" customHeight="1">
      <c r="A10" s="47"/>
      <c r="B10" s="47"/>
      <c r="C10" s="120" t="s">
        <v>260</v>
      </c>
    </row>
    <row r="11" spans="1:6" ht="15" customHeight="1">
      <c r="A11" s="215" t="s">
        <v>83</v>
      </c>
      <c r="B11" s="215" t="s">
        <v>179</v>
      </c>
      <c r="C11" s="215" t="s">
        <v>291</v>
      </c>
    </row>
    <row r="12" spans="1:6" ht="7.5" customHeight="1">
      <c r="A12" s="216"/>
      <c r="B12" s="216"/>
      <c r="C12" s="216"/>
    </row>
    <row r="13" spans="1:6" ht="15" hidden="1" customHeight="1">
      <c r="A13" s="217"/>
      <c r="B13" s="217"/>
      <c r="C13" s="217"/>
    </row>
    <row r="14" spans="1:6" ht="15" customHeight="1">
      <c r="A14" s="109" t="s">
        <v>139</v>
      </c>
      <c r="B14" s="109" t="s">
        <v>140</v>
      </c>
      <c r="C14" s="109">
        <f>C15+C17+C23</f>
        <v>16396000</v>
      </c>
    </row>
    <row r="15" spans="1:6" ht="15" customHeight="1">
      <c r="A15" s="109" t="s">
        <v>84</v>
      </c>
      <c r="B15" s="109" t="s">
        <v>141</v>
      </c>
      <c r="C15" s="68">
        <f>SUM(C16:C16)</f>
        <v>14706000</v>
      </c>
    </row>
    <row r="16" spans="1:6" ht="15" customHeight="1">
      <c r="A16" s="68" t="s">
        <v>142</v>
      </c>
      <c r="B16" s="68" t="s">
        <v>143</v>
      </c>
      <c r="C16" s="68">
        <v>14706000</v>
      </c>
    </row>
    <row r="17" spans="1:3" ht="15" customHeight="1">
      <c r="A17" s="109" t="s">
        <v>85</v>
      </c>
      <c r="B17" s="109" t="s">
        <v>236</v>
      </c>
      <c r="C17" s="109">
        <f>SUM(C18+C21+C22)</f>
        <v>729000</v>
      </c>
    </row>
    <row r="18" spans="1:3" ht="15" customHeight="1">
      <c r="A18" s="68" t="s">
        <v>146</v>
      </c>
      <c r="B18" s="68" t="s">
        <v>429</v>
      </c>
      <c r="C18" s="68">
        <f>C20+C19</f>
        <v>400000</v>
      </c>
    </row>
    <row r="19" spans="1:3" ht="15" customHeight="1">
      <c r="A19" s="68" t="s">
        <v>229</v>
      </c>
      <c r="B19" s="195" t="s">
        <v>148</v>
      </c>
      <c r="C19" s="196">
        <v>370000</v>
      </c>
    </row>
    <row r="20" spans="1:3" ht="15" customHeight="1">
      <c r="A20" s="68" t="s">
        <v>230</v>
      </c>
      <c r="B20" s="195" t="s">
        <v>150</v>
      </c>
      <c r="C20" s="196">
        <v>30000</v>
      </c>
    </row>
    <row r="21" spans="1:3" ht="15" customHeight="1">
      <c r="A21" s="68" t="s">
        <v>147</v>
      </c>
      <c r="B21" s="68" t="s">
        <v>151</v>
      </c>
      <c r="C21" s="68">
        <v>9000</v>
      </c>
    </row>
    <row r="22" spans="1:3" ht="15" customHeight="1">
      <c r="A22" s="68" t="s">
        <v>149</v>
      </c>
      <c r="B22" s="68" t="s">
        <v>152</v>
      </c>
      <c r="C22" s="68">
        <v>320000</v>
      </c>
    </row>
    <row r="23" spans="1:3" ht="15" customHeight="1">
      <c r="A23" s="109" t="s">
        <v>86</v>
      </c>
      <c r="B23" s="109" t="s">
        <v>153</v>
      </c>
      <c r="C23" s="109">
        <f>C26+C25+C24</f>
        <v>961000</v>
      </c>
    </row>
    <row r="24" spans="1:3" ht="15" customHeight="1">
      <c r="A24" s="68" t="s">
        <v>154</v>
      </c>
      <c r="B24" s="68" t="s">
        <v>155</v>
      </c>
      <c r="C24" s="68">
        <v>30000</v>
      </c>
    </row>
    <row r="25" spans="1:3" ht="15" customHeight="1">
      <c r="A25" s="68" t="s">
        <v>156</v>
      </c>
      <c r="B25" s="68" t="s">
        <v>157</v>
      </c>
      <c r="C25" s="68">
        <v>31000</v>
      </c>
    </row>
    <row r="26" spans="1:3" ht="15" customHeight="1">
      <c r="A26" s="68" t="s">
        <v>158</v>
      </c>
      <c r="B26" s="68" t="s">
        <v>159</v>
      </c>
      <c r="C26" s="68">
        <v>900000</v>
      </c>
    </row>
    <row r="27" spans="1:3" ht="15" customHeight="1">
      <c r="A27" s="109" t="s">
        <v>160</v>
      </c>
      <c r="B27" s="109" t="s">
        <v>354</v>
      </c>
      <c r="C27" s="109">
        <f>C28+C29+C30</f>
        <v>17448400</v>
      </c>
    </row>
    <row r="28" spans="1:3" ht="15" customHeight="1">
      <c r="A28" s="68" t="s">
        <v>142</v>
      </c>
      <c r="B28" s="110" t="s">
        <v>161</v>
      </c>
      <c r="C28" s="68">
        <f>2782900+100000+36900</f>
        <v>2919800</v>
      </c>
    </row>
    <row r="29" spans="1:3" ht="15" customHeight="1">
      <c r="A29" s="68" t="s">
        <v>144</v>
      </c>
      <c r="B29" s="110" t="s">
        <v>375</v>
      </c>
      <c r="C29" s="68">
        <f>6748200+211800+25000</f>
        <v>6985000</v>
      </c>
    </row>
    <row r="30" spans="1:3" ht="15" customHeight="1">
      <c r="A30" s="68" t="s">
        <v>145</v>
      </c>
      <c r="B30" s="110" t="s">
        <v>162</v>
      </c>
      <c r="C30" s="68">
        <f>227700+40500+164000+1439800+17100+116900+2174000+1401000+1869800-611800+600700+88000+15900</f>
        <v>7543600</v>
      </c>
    </row>
    <row r="31" spans="1:3" ht="15" customHeight="1">
      <c r="A31" s="109" t="s">
        <v>163</v>
      </c>
      <c r="B31" s="111" t="s">
        <v>376</v>
      </c>
      <c r="C31" s="109">
        <f>10200+45000+260700+6800+389800+421500+521400+390800+76300+15900</f>
        <v>2138400</v>
      </c>
    </row>
    <row r="32" spans="1:3" ht="15" customHeight="1">
      <c r="A32" s="109" t="s">
        <v>176</v>
      </c>
      <c r="B32" s="111" t="s">
        <v>164</v>
      </c>
      <c r="C32" s="109">
        <f>C46+C45+C43+C39+C35+C34+C33</f>
        <v>1820000</v>
      </c>
    </row>
    <row r="33" spans="1:3" ht="15" customHeight="1">
      <c r="A33" s="67" t="s">
        <v>84</v>
      </c>
      <c r="B33" s="111" t="s">
        <v>293</v>
      </c>
      <c r="C33" s="109">
        <v>2000</v>
      </c>
    </row>
    <row r="34" spans="1:3" ht="15" customHeight="1">
      <c r="A34" s="67" t="s">
        <v>85</v>
      </c>
      <c r="B34" s="111" t="s">
        <v>388</v>
      </c>
      <c r="C34" s="109">
        <v>1000</v>
      </c>
    </row>
    <row r="35" spans="1:3" ht="15" customHeight="1">
      <c r="A35" s="67" t="s">
        <v>86</v>
      </c>
      <c r="B35" s="111" t="s">
        <v>299</v>
      </c>
      <c r="C35" s="109">
        <f>C38+C37+C36</f>
        <v>214000</v>
      </c>
    </row>
    <row r="36" spans="1:3" ht="30" customHeight="1">
      <c r="A36" s="68" t="s">
        <v>154</v>
      </c>
      <c r="B36" s="110" t="s">
        <v>165</v>
      </c>
      <c r="C36" s="68">
        <v>100000</v>
      </c>
    </row>
    <row r="37" spans="1:3" ht="15" customHeight="1">
      <c r="A37" s="68" t="s">
        <v>156</v>
      </c>
      <c r="B37" s="110" t="s">
        <v>166</v>
      </c>
      <c r="C37" s="68">
        <v>100000</v>
      </c>
    </row>
    <row r="38" spans="1:3" ht="15" customHeight="1">
      <c r="A38" s="68" t="s">
        <v>158</v>
      </c>
      <c r="B38" s="110" t="s">
        <v>167</v>
      </c>
      <c r="C38" s="68">
        <v>14000</v>
      </c>
    </row>
    <row r="39" spans="1:3" ht="15" customHeight="1">
      <c r="A39" s="109" t="s">
        <v>87</v>
      </c>
      <c r="B39" s="111" t="s">
        <v>168</v>
      </c>
      <c r="C39" s="109">
        <f>C42+C41+C40</f>
        <v>1510000</v>
      </c>
    </row>
    <row r="40" spans="1:3" ht="15" customHeight="1">
      <c r="A40" s="68" t="s">
        <v>294</v>
      </c>
      <c r="B40" s="68" t="s">
        <v>357</v>
      </c>
      <c r="C40" s="68">
        <f>94500+15000+10000</f>
        <v>119500</v>
      </c>
    </row>
    <row r="41" spans="1:3" ht="15" customHeight="1">
      <c r="A41" s="68" t="s">
        <v>397</v>
      </c>
      <c r="B41" s="68" t="s">
        <v>380</v>
      </c>
      <c r="C41" s="68">
        <v>86500</v>
      </c>
    </row>
    <row r="42" spans="1:3" ht="15.75" customHeight="1">
      <c r="A42" s="68" t="s">
        <v>398</v>
      </c>
      <c r="B42" s="68" t="s">
        <v>169</v>
      </c>
      <c r="C42" s="68">
        <v>1304000</v>
      </c>
    </row>
    <row r="43" spans="1:3" ht="15" customHeight="1">
      <c r="A43" s="109" t="s">
        <v>88</v>
      </c>
      <c r="B43" s="109" t="s">
        <v>170</v>
      </c>
      <c r="C43" s="109">
        <f>C44</f>
        <v>3000</v>
      </c>
    </row>
    <row r="44" spans="1:3" ht="15" customHeight="1">
      <c r="A44" s="68" t="s">
        <v>399</v>
      </c>
      <c r="B44" s="68" t="s">
        <v>171</v>
      </c>
      <c r="C44" s="68">
        <v>3000</v>
      </c>
    </row>
    <row r="45" spans="1:3" ht="15" customHeight="1">
      <c r="A45" s="109" t="s">
        <v>89</v>
      </c>
      <c r="B45" s="109" t="s">
        <v>172</v>
      </c>
      <c r="C45" s="109">
        <v>35000</v>
      </c>
    </row>
    <row r="46" spans="1:3" ht="15" customHeight="1">
      <c r="A46" s="109" t="s">
        <v>90</v>
      </c>
      <c r="B46" s="109" t="s">
        <v>173</v>
      </c>
      <c r="C46" s="109">
        <f>C48+C47</f>
        <v>55000</v>
      </c>
    </row>
    <row r="47" spans="1:3" ht="15" customHeight="1">
      <c r="A47" s="68" t="s">
        <v>400</v>
      </c>
      <c r="B47" s="68" t="s">
        <v>174</v>
      </c>
      <c r="C47" s="68">
        <v>15000</v>
      </c>
    </row>
    <row r="48" spans="1:3" ht="15" customHeight="1">
      <c r="A48" s="68" t="s">
        <v>401</v>
      </c>
      <c r="B48" s="68" t="s">
        <v>175</v>
      </c>
      <c r="C48" s="68">
        <v>40000</v>
      </c>
    </row>
    <row r="49" spans="1:4" ht="15" customHeight="1">
      <c r="A49" s="109" t="s">
        <v>255</v>
      </c>
      <c r="B49" s="109" t="s">
        <v>177</v>
      </c>
      <c r="C49" s="109">
        <f>C32+C31+C27+C14</f>
        <v>37802800</v>
      </c>
    </row>
    <row r="50" spans="1:4" ht="15" customHeight="1">
      <c r="A50" s="109" t="s">
        <v>363</v>
      </c>
      <c r="B50" s="109" t="s">
        <v>378</v>
      </c>
      <c r="C50" s="109">
        <f>550000+249700+20000+50000+5500+1000+5500+2800+8000+4000</f>
        <v>896500</v>
      </c>
    </row>
    <row r="51" spans="1:4">
      <c r="A51" s="218" t="s">
        <v>178</v>
      </c>
      <c r="B51" s="218"/>
      <c r="C51" s="218"/>
      <c r="D51" s="47"/>
    </row>
    <row r="52" spans="1:4">
      <c r="A52" s="47"/>
      <c r="B52" s="47"/>
    </row>
    <row r="53" spans="1:4">
      <c r="A53" s="47"/>
      <c r="B53" s="47"/>
    </row>
    <row r="54" spans="1:4">
      <c r="A54" s="47"/>
      <c r="B54" s="47"/>
    </row>
    <row r="55" spans="1:4">
      <c r="A55" s="47"/>
      <c r="B55" s="47"/>
    </row>
    <row r="56" spans="1:4">
      <c r="A56" s="47"/>
      <c r="B56" s="47"/>
    </row>
    <row r="57" spans="1:4">
      <c r="A57" s="47"/>
      <c r="B57" s="47"/>
    </row>
    <row r="58" spans="1:4">
      <c r="A58" s="47"/>
      <c r="B58" s="47"/>
    </row>
    <row r="59" spans="1:4">
      <c r="A59" s="47"/>
      <c r="B59" s="47"/>
    </row>
    <row r="60" spans="1:4">
      <c r="A60" s="47"/>
      <c r="B60" s="47"/>
    </row>
    <row r="61" spans="1:4">
      <c r="A61" s="47"/>
      <c r="B61" s="47"/>
    </row>
    <row r="62" spans="1:4">
      <c r="A62" s="47"/>
      <c r="B62" s="47"/>
    </row>
    <row r="63" spans="1:4">
      <c r="A63" s="47"/>
      <c r="B63" s="47"/>
    </row>
    <row r="64" spans="1:4">
      <c r="A64" s="47"/>
      <c r="B64" s="47"/>
    </row>
    <row r="65" spans="1:2">
      <c r="A65" s="47"/>
      <c r="B65" s="47"/>
    </row>
    <row r="66" spans="1:2">
      <c r="A66" s="47"/>
      <c r="B66" s="47"/>
    </row>
    <row r="67" spans="1:2">
      <c r="A67" s="47"/>
      <c r="B67" s="47"/>
    </row>
    <row r="68" spans="1:2">
      <c r="A68" s="47"/>
      <c r="B68" s="47"/>
    </row>
    <row r="69" spans="1:2">
      <c r="A69" s="47"/>
      <c r="B69" s="47"/>
    </row>
    <row r="70" spans="1:2">
      <c r="A70" s="47"/>
      <c r="B70" s="47"/>
    </row>
    <row r="71" spans="1:2">
      <c r="A71" s="47"/>
      <c r="B71" s="47"/>
    </row>
    <row r="72" spans="1:2">
      <c r="A72" s="47"/>
      <c r="B72" s="47"/>
    </row>
    <row r="73" spans="1:2">
      <c r="A73" s="47"/>
      <c r="B73" s="47"/>
    </row>
    <row r="74" spans="1:2">
      <c r="A74" s="47"/>
      <c r="B74" s="47"/>
    </row>
    <row r="75" spans="1:2">
      <c r="A75" s="47"/>
      <c r="B75" s="47"/>
    </row>
    <row r="76" spans="1:2">
      <c r="A76" s="47"/>
      <c r="B76" s="47"/>
    </row>
    <row r="77" spans="1:2">
      <c r="A77" s="47"/>
      <c r="B77" s="47"/>
    </row>
    <row r="78" spans="1:2">
      <c r="A78" s="47"/>
      <c r="B78" s="47"/>
    </row>
    <row r="79" spans="1:2">
      <c r="A79" s="47"/>
      <c r="B79" s="47"/>
    </row>
    <row r="80" spans="1:2">
      <c r="A80" s="47"/>
      <c r="B80" s="47"/>
    </row>
    <row r="81" spans="1:2">
      <c r="A81" s="47"/>
      <c r="B81" s="47"/>
    </row>
    <row r="82" spans="1:2">
      <c r="A82" s="47"/>
      <c r="B82" s="47"/>
    </row>
    <row r="83" spans="1:2">
      <c r="A83" s="47"/>
      <c r="B83" s="47"/>
    </row>
    <row r="84" spans="1:2">
      <c r="A84" s="47"/>
      <c r="B84" s="47"/>
    </row>
    <row r="85" spans="1:2">
      <c r="A85" s="47"/>
      <c r="B85" s="47"/>
    </row>
    <row r="86" spans="1:2">
      <c r="A86" s="47"/>
      <c r="B86" s="47"/>
    </row>
    <row r="87" spans="1:2">
      <c r="A87" s="47"/>
      <c r="B87" s="47"/>
    </row>
    <row r="88" spans="1:2">
      <c r="A88" s="47"/>
      <c r="B88" s="47"/>
    </row>
    <row r="89" spans="1:2">
      <c r="A89" s="47"/>
      <c r="B89" s="47"/>
    </row>
    <row r="90" spans="1:2">
      <c r="A90" s="47"/>
      <c r="B90" s="47"/>
    </row>
    <row r="91" spans="1:2">
      <c r="A91" s="47"/>
      <c r="B91" s="47"/>
    </row>
    <row r="92" spans="1:2">
      <c r="A92" s="47"/>
      <c r="B92" s="47"/>
    </row>
    <row r="93" spans="1:2">
      <c r="A93" s="47"/>
      <c r="B93" s="47"/>
    </row>
    <row r="94" spans="1:2">
      <c r="A94" s="47"/>
      <c r="B94" s="47"/>
    </row>
    <row r="95" spans="1:2">
      <c r="A95" s="47"/>
      <c r="B95" s="47"/>
    </row>
    <row r="96" spans="1:2">
      <c r="A96" s="47"/>
      <c r="B96" s="47"/>
    </row>
    <row r="97" spans="1:2">
      <c r="A97" s="47"/>
      <c r="B97" s="47"/>
    </row>
    <row r="98" spans="1:2">
      <c r="A98" s="47"/>
      <c r="B98" s="47"/>
    </row>
    <row r="99" spans="1:2">
      <c r="A99" s="47"/>
      <c r="B99" s="47"/>
    </row>
    <row r="100" spans="1:2">
      <c r="A100" s="47"/>
      <c r="B100" s="47"/>
    </row>
    <row r="101" spans="1:2">
      <c r="A101" s="47"/>
      <c r="B101" s="47"/>
    </row>
    <row r="102" spans="1:2">
      <c r="A102" s="47"/>
      <c r="B102" s="47"/>
    </row>
    <row r="103" spans="1:2">
      <c r="A103" s="47"/>
      <c r="B103" s="47"/>
    </row>
    <row r="104" spans="1:2">
      <c r="A104" s="47"/>
      <c r="B104" s="47"/>
    </row>
    <row r="105" spans="1:2">
      <c r="A105" s="47"/>
      <c r="B105" s="47"/>
    </row>
    <row r="106" spans="1:2">
      <c r="A106" s="47"/>
      <c r="B106" s="47"/>
    </row>
    <row r="107" spans="1:2">
      <c r="A107" s="47"/>
      <c r="B107" s="47"/>
    </row>
    <row r="108" spans="1:2">
      <c r="A108" s="47"/>
      <c r="B108" s="47"/>
    </row>
    <row r="109" spans="1:2">
      <c r="A109" s="47"/>
      <c r="B109" s="47"/>
    </row>
    <row r="110" spans="1:2">
      <c r="A110" s="47"/>
      <c r="B110" s="47"/>
    </row>
    <row r="111" spans="1:2">
      <c r="A111" s="47"/>
      <c r="B111" s="47"/>
    </row>
    <row r="112" spans="1:2">
      <c r="A112" s="47"/>
      <c r="B112" s="47"/>
    </row>
    <row r="113" spans="1:2">
      <c r="A113" s="47"/>
      <c r="B113" s="47"/>
    </row>
    <row r="114" spans="1:2">
      <c r="A114" s="47"/>
      <c r="B114" s="47"/>
    </row>
  </sheetData>
  <mergeCells count="5">
    <mergeCell ref="C11:C13"/>
    <mergeCell ref="B11:B13"/>
    <mergeCell ref="A11:A13"/>
    <mergeCell ref="A51:C51"/>
    <mergeCell ref="A9:C9"/>
  </mergeCells>
  <phoneticPr fontId="5" type="noConversion"/>
  <pageMargins left="0.98425196850393704" right="0.19685039370078741" top="0.59055118110236227" bottom="0.19685039370078741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1"/>
  <sheetViews>
    <sheetView zoomScale="135" zoomScaleNormal="135" workbookViewId="0">
      <selection activeCell="E7" sqref="E7:G7"/>
    </sheetView>
  </sheetViews>
  <sheetFormatPr defaultRowHeight="12.75"/>
  <cols>
    <col min="1" max="1" width="3.85546875" customWidth="1"/>
    <col min="2" max="2" width="9.85546875" customWidth="1"/>
    <col min="3" max="3" width="34.5703125" customWidth="1"/>
    <col min="4" max="4" width="10.42578125" customWidth="1"/>
    <col min="5" max="5" width="8.140625" customWidth="1"/>
    <col min="6" max="6" width="10.85546875" customWidth="1"/>
    <col min="7" max="7" width="9.7109375" customWidth="1"/>
    <col min="8" max="8" width="9.85546875" customWidth="1"/>
  </cols>
  <sheetData>
    <row r="1" spans="1:9" ht="14.1" customHeight="1">
      <c r="A1" s="3"/>
      <c r="B1" s="3"/>
      <c r="C1" s="3"/>
      <c r="D1" s="35"/>
      <c r="E1" s="226" t="s">
        <v>7</v>
      </c>
      <c r="F1" s="226"/>
      <c r="G1" s="226"/>
      <c r="H1" s="226"/>
    </row>
    <row r="2" spans="1:9" ht="14.1" customHeight="1">
      <c r="A2" s="3"/>
      <c r="B2" s="3"/>
      <c r="C2" s="3"/>
      <c r="D2" s="34"/>
      <c r="E2" s="226" t="s">
        <v>382</v>
      </c>
      <c r="F2" s="226"/>
      <c r="G2" s="226"/>
      <c r="H2" s="226"/>
    </row>
    <row r="3" spans="1:9" ht="14.1" customHeight="1">
      <c r="A3" s="3"/>
      <c r="B3" s="3"/>
      <c r="C3" s="3"/>
      <c r="D3" s="34"/>
      <c r="E3" s="226" t="s">
        <v>405</v>
      </c>
      <c r="F3" s="226"/>
      <c r="G3" s="226"/>
      <c r="H3" s="226"/>
    </row>
    <row r="4" spans="1:9" ht="14.1" customHeight="1">
      <c r="A4" s="1"/>
      <c r="B4" s="2"/>
      <c r="C4" s="3"/>
      <c r="D4" s="35"/>
      <c r="E4" s="227" t="s">
        <v>300</v>
      </c>
      <c r="F4" s="227"/>
      <c r="G4" s="227"/>
      <c r="H4" s="227"/>
    </row>
    <row r="5" spans="1:9" ht="14.1" customHeight="1">
      <c r="A5" s="1"/>
      <c r="B5" s="2"/>
      <c r="C5" s="3"/>
      <c r="D5" s="35"/>
      <c r="E5" s="227" t="s">
        <v>407</v>
      </c>
      <c r="F5" s="227"/>
      <c r="G5" s="227"/>
      <c r="H5" s="201"/>
    </row>
    <row r="6" spans="1:9" ht="14.1" customHeight="1">
      <c r="A6" s="1"/>
      <c r="B6" s="2"/>
      <c r="C6" s="3"/>
      <c r="D6" s="35"/>
      <c r="E6" s="227" t="s">
        <v>433</v>
      </c>
      <c r="F6" s="227"/>
      <c r="G6" s="227"/>
      <c r="H6" s="201"/>
    </row>
    <row r="7" spans="1:9" ht="14.1" customHeight="1">
      <c r="A7" s="1"/>
      <c r="B7" s="2"/>
      <c r="C7" s="3"/>
      <c r="D7" s="35"/>
      <c r="E7" s="227" t="s">
        <v>435</v>
      </c>
      <c r="F7" s="227"/>
      <c r="G7" s="227"/>
      <c r="H7" s="201"/>
    </row>
    <row r="8" spans="1:9" ht="14.1" customHeight="1">
      <c r="A8" s="1"/>
      <c r="B8" s="2"/>
      <c r="C8" s="16"/>
      <c r="D8" s="16"/>
      <c r="E8" s="134"/>
      <c r="F8" s="134"/>
      <c r="G8" s="134"/>
      <c r="H8" s="134"/>
    </row>
    <row r="9" spans="1:9" ht="14.1" customHeight="1">
      <c r="A9" s="231" t="s">
        <v>385</v>
      </c>
      <c r="B9" s="231"/>
      <c r="C9" s="231"/>
      <c r="D9" s="231"/>
      <c r="E9" s="231"/>
      <c r="F9" s="231"/>
      <c r="G9" s="231"/>
      <c r="H9" s="231"/>
    </row>
    <row r="10" spans="1:9" ht="14.1" customHeight="1">
      <c r="A10" s="231" t="s">
        <v>381</v>
      </c>
      <c r="B10" s="231"/>
      <c r="C10" s="231"/>
      <c r="D10" s="231"/>
      <c r="E10" s="231"/>
      <c r="F10" s="231"/>
      <c r="G10" s="231"/>
      <c r="H10" s="231"/>
    </row>
    <row r="11" spans="1:9" ht="15" customHeight="1">
      <c r="A11" s="48"/>
      <c r="B11" s="48"/>
      <c r="C11" s="48"/>
      <c r="D11" s="48"/>
      <c r="E11" s="48"/>
      <c r="F11" s="48"/>
      <c r="G11" s="48"/>
    </row>
    <row r="12" spans="1:9" ht="12.75" customHeight="1">
      <c r="A12" s="33"/>
      <c r="B12" s="33"/>
      <c r="C12" s="33"/>
      <c r="D12" s="33"/>
      <c r="E12" s="33"/>
      <c r="F12" s="33"/>
      <c r="G12" s="33"/>
      <c r="H12" s="120" t="s">
        <v>260</v>
      </c>
    </row>
    <row r="13" spans="1:9" ht="12.75" customHeight="1">
      <c r="A13" s="228" t="s">
        <v>0</v>
      </c>
      <c r="B13" s="232" t="s">
        <v>1</v>
      </c>
      <c r="C13" s="228" t="s">
        <v>50</v>
      </c>
      <c r="D13" s="223" t="s">
        <v>2</v>
      </c>
      <c r="E13" s="236" t="s">
        <v>301</v>
      </c>
      <c r="F13" s="237"/>
      <c r="G13" s="237"/>
      <c r="H13" s="238"/>
      <c r="I13" s="33"/>
    </row>
    <row r="14" spans="1:9" ht="12.75" customHeight="1">
      <c r="A14" s="229"/>
      <c r="B14" s="233"/>
      <c r="C14" s="229"/>
      <c r="D14" s="224"/>
      <c r="E14" s="229" t="s">
        <v>3</v>
      </c>
      <c r="F14" s="239" t="s">
        <v>4</v>
      </c>
      <c r="G14" s="240"/>
      <c r="H14" s="228" t="s">
        <v>51</v>
      </c>
    </row>
    <row r="15" spans="1:9" ht="12.75" customHeight="1">
      <c r="A15" s="229"/>
      <c r="B15" s="233"/>
      <c r="C15" s="229"/>
      <c r="D15" s="224"/>
      <c r="E15" s="229"/>
      <c r="F15" s="228" t="s">
        <v>8</v>
      </c>
      <c r="G15" s="228" t="s">
        <v>302</v>
      </c>
      <c r="H15" s="229"/>
    </row>
    <row r="16" spans="1:9" ht="12.75" customHeight="1">
      <c r="A16" s="230"/>
      <c r="B16" s="234"/>
      <c r="C16" s="230"/>
      <c r="D16" s="225"/>
      <c r="E16" s="230"/>
      <c r="F16" s="235"/>
      <c r="G16" s="235"/>
      <c r="H16" s="230"/>
    </row>
    <row r="17" spans="1:11" ht="12" customHeight="1">
      <c r="A17" s="199">
        <v>1</v>
      </c>
      <c r="B17" s="6" t="s">
        <v>5</v>
      </c>
      <c r="C17" s="4">
        <v>3</v>
      </c>
      <c r="D17" s="6" t="s">
        <v>6</v>
      </c>
      <c r="E17" s="4">
        <v>5</v>
      </c>
      <c r="F17" s="4">
        <v>6</v>
      </c>
      <c r="G17" s="4">
        <v>7</v>
      </c>
      <c r="H17" s="4">
        <v>8</v>
      </c>
    </row>
    <row r="18" spans="1:11" ht="25.5" customHeight="1">
      <c r="A18" s="37" t="s">
        <v>84</v>
      </c>
      <c r="B18" s="86" t="s">
        <v>10</v>
      </c>
      <c r="C18" s="17" t="s">
        <v>11</v>
      </c>
      <c r="D18" s="42"/>
      <c r="E18" s="81">
        <f>SUM(E19:E30)</f>
        <v>255400</v>
      </c>
      <c r="F18" s="81"/>
      <c r="G18" s="81">
        <f>SUM(G19:G30)</f>
        <v>255400</v>
      </c>
      <c r="H18" s="81">
        <f>SUM(H19:H30)</f>
        <v>0</v>
      </c>
      <c r="K18" s="132"/>
    </row>
    <row r="19" spans="1:11" ht="12.75" customHeight="1">
      <c r="A19" s="32" t="s">
        <v>85</v>
      </c>
      <c r="B19" s="12" t="s">
        <v>29</v>
      </c>
      <c r="C19" s="18" t="s">
        <v>12</v>
      </c>
      <c r="D19" s="12" t="s">
        <v>303</v>
      </c>
      <c r="E19" s="20">
        <v>13000</v>
      </c>
      <c r="F19" s="20"/>
      <c r="G19" s="20">
        <f>E19</f>
        <v>13000</v>
      </c>
      <c r="H19" s="135"/>
    </row>
    <row r="20" spans="1:11" ht="12.75" customHeight="1">
      <c r="A20" s="32" t="s">
        <v>86</v>
      </c>
      <c r="B20" s="12" t="s">
        <v>30</v>
      </c>
      <c r="C20" s="18" t="s">
        <v>243</v>
      </c>
      <c r="D20" s="12" t="s">
        <v>303</v>
      </c>
      <c r="E20" s="20">
        <v>21700</v>
      </c>
      <c r="F20" s="20"/>
      <c r="G20" s="20">
        <f t="shared" ref="G20:G30" si="0">E20</f>
        <v>21700</v>
      </c>
      <c r="H20" s="135"/>
    </row>
    <row r="21" spans="1:11" ht="12.75" customHeight="1">
      <c r="A21" s="37" t="s">
        <v>87</v>
      </c>
      <c r="B21" s="42" t="s">
        <v>31</v>
      </c>
      <c r="C21" s="18" t="s">
        <v>256</v>
      </c>
      <c r="D21" s="42" t="s">
        <v>303</v>
      </c>
      <c r="E21" s="41">
        <v>26800</v>
      </c>
      <c r="F21" s="41"/>
      <c r="G21" s="41">
        <f t="shared" si="0"/>
        <v>26800</v>
      </c>
      <c r="H21" s="135"/>
    </row>
    <row r="22" spans="1:11" ht="12.75" customHeight="1">
      <c r="A22" s="37" t="s">
        <v>88</v>
      </c>
      <c r="B22" s="42" t="s">
        <v>32</v>
      </c>
      <c r="C22" s="18" t="s">
        <v>244</v>
      </c>
      <c r="D22" s="42" t="s">
        <v>303</v>
      </c>
      <c r="E22" s="41">
        <v>22500</v>
      </c>
      <c r="F22" s="41"/>
      <c r="G22" s="41">
        <f t="shared" si="0"/>
        <v>22500</v>
      </c>
      <c r="H22" s="135"/>
    </row>
    <row r="23" spans="1:11" ht="12.75" customHeight="1">
      <c r="A23" s="37" t="s">
        <v>89</v>
      </c>
      <c r="B23" s="42" t="s">
        <v>33</v>
      </c>
      <c r="C23" s="18" t="s">
        <v>257</v>
      </c>
      <c r="D23" s="42" t="s">
        <v>303</v>
      </c>
      <c r="E23" s="41">
        <f>49200+5000</f>
        <v>54200</v>
      </c>
      <c r="F23" s="41"/>
      <c r="G23" s="41">
        <f t="shared" si="0"/>
        <v>54200</v>
      </c>
      <c r="H23" s="135"/>
    </row>
    <row r="24" spans="1:11" ht="12.75" customHeight="1">
      <c r="A24" s="37" t="s">
        <v>90</v>
      </c>
      <c r="B24" s="42" t="s">
        <v>34</v>
      </c>
      <c r="C24" s="18" t="s">
        <v>258</v>
      </c>
      <c r="D24" s="42" t="s">
        <v>303</v>
      </c>
      <c r="E24" s="41">
        <v>47500</v>
      </c>
      <c r="F24" s="41"/>
      <c r="G24" s="41">
        <f>E24</f>
        <v>47500</v>
      </c>
      <c r="H24" s="135"/>
    </row>
    <row r="25" spans="1:11" ht="12.75" customHeight="1">
      <c r="A25" s="37" t="s">
        <v>91</v>
      </c>
      <c r="B25" s="42" t="s">
        <v>35</v>
      </c>
      <c r="C25" s="18" t="s">
        <v>253</v>
      </c>
      <c r="D25" s="42" t="s">
        <v>303</v>
      </c>
      <c r="E25" s="41">
        <v>16300</v>
      </c>
      <c r="F25" s="41"/>
      <c r="G25" s="41">
        <f t="shared" si="0"/>
        <v>16300</v>
      </c>
      <c r="H25" s="135"/>
    </row>
    <row r="26" spans="1:11" ht="12.75" customHeight="1">
      <c r="A26" s="37" t="s">
        <v>92</v>
      </c>
      <c r="B26" s="42" t="s">
        <v>36</v>
      </c>
      <c r="C26" s="112" t="s">
        <v>13</v>
      </c>
      <c r="D26" s="42" t="s">
        <v>303</v>
      </c>
      <c r="E26" s="41">
        <v>9200</v>
      </c>
      <c r="F26" s="41"/>
      <c r="G26" s="41">
        <f t="shared" si="0"/>
        <v>9200</v>
      </c>
      <c r="H26" s="135"/>
    </row>
    <row r="27" spans="1:11" ht="12.75" customHeight="1">
      <c r="A27" s="37" t="s">
        <v>93</v>
      </c>
      <c r="B27" s="42" t="s">
        <v>37</v>
      </c>
      <c r="C27" s="18" t="s">
        <v>245</v>
      </c>
      <c r="D27" s="42" t="s">
        <v>303</v>
      </c>
      <c r="E27" s="41">
        <f>11100-5000</f>
        <v>6100</v>
      </c>
      <c r="F27" s="41"/>
      <c r="G27" s="41">
        <f t="shared" si="0"/>
        <v>6100</v>
      </c>
      <c r="H27" s="135"/>
    </row>
    <row r="28" spans="1:11" ht="14.25" customHeight="1">
      <c r="A28" s="37" t="s">
        <v>94</v>
      </c>
      <c r="B28" s="42" t="s">
        <v>38</v>
      </c>
      <c r="C28" s="18" t="s">
        <v>246</v>
      </c>
      <c r="D28" s="42" t="s">
        <v>303</v>
      </c>
      <c r="E28" s="41">
        <v>8200</v>
      </c>
      <c r="F28" s="41"/>
      <c r="G28" s="41">
        <f t="shared" si="0"/>
        <v>8200</v>
      </c>
      <c r="H28" s="135"/>
    </row>
    <row r="29" spans="1:11" ht="14.25" customHeight="1">
      <c r="A29" s="37" t="s">
        <v>95</v>
      </c>
      <c r="B29" s="42" t="s">
        <v>39</v>
      </c>
      <c r="C29" s="18" t="s">
        <v>247</v>
      </c>
      <c r="D29" s="42" t="s">
        <v>303</v>
      </c>
      <c r="E29" s="41">
        <v>18500</v>
      </c>
      <c r="F29" s="41"/>
      <c r="G29" s="41">
        <f t="shared" si="0"/>
        <v>18500</v>
      </c>
      <c r="H29" s="135"/>
    </row>
    <row r="30" spans="1:11" ht="14.25" customHeight="1">
      <c r="A30" s="37" t="s">
        <v>96</v>
      </c>
      <c r="B30" s="42" t="s">
        <v>40</v>
      </c>
      <c r="C30" s="18" t="s">
        <v>259</v>
      </c>
      <c r="D30" s="42" t="s">
        <v>303</v>
      </c>
      <c r="E30" s="41">
        <v>11400</v>
      </c>
      <c r="F30" s="41"/>
      <c r="G30" s="41">
        <f t="shared" si="0"/>
        <v>11400</v>
      </c>
      <c r="H30" s="135"/>
    </row>
    <row r="31" spans="1:11" ht="25.5">
      <c r="A31" s="37" t="s">
        <v>97</v>
      </c>
      <c r="B31" s="31" t="s">
        <v>9</v>
      </c>
      <c r="C31" s="198" t="s">
        <v>16</v>
      </c>
      <c r="D31" s="136"/>
      <c r="E31" s="82">
        <f>SUM(E32+E35+E37+E39)</f>
        <v>1344100</v>
      </c>
      <c r="F31" s="82">
        <f>SUM(F32+F35+F37+F39)</f>
        <v>787800</v>
      </c>
      <c r="G31" s="82">
        <f>SUM(G32+G35+G39)</f>
        <v>0</v>
      </c>
      <c r="H31" s="82">
        <f>SUM(H32+H35+H39)</f>
        <v>0</v>
      </c>
    </row>
    <row r="32" spans="1:11" ht="25.5">
      <c r="A32" s="39" t="s">
        <v>98</v>
      </c>
      <c r="B32" s="220" t="s">
        <v>23</v>
      </c>
      <c r="C32" s="51" t="s">
        <v>17</v>
      </c>
      <c r="D32" s="137"/>
      <c r="E32" s="99">
        <f>SUM(E33:E34)</f>
        <v>491000</v>
      </c>
      <c r="F32" s="99">
        <f>SUM(F33:F34)</f>
        <v>471300</v>
      </c>
      <c r="G32" s="99">
        <f>SUM(G33:G34)</f>
        <v>0</v>
      </c>
      <c r="H32" s="99">
        <f>SUM(H33:H34)</f>
        <v>0</v>
      </c>
    </row>
    <row r="33" spans="1:8" ht="25.5">
      <c r="A33" s="37" t="s">
        <v>99</v>
      </c>
      <c r="B33" s="222"/>
      <c r="C33" s="138" t="s">
        <v>304</v>
      </c>
      <c r="D33" s="139" t="s">
        <v>305</v>
      </c>
      <c r="E33" s="58">
        <v>100000</v>
      </c>
      <c r="F33" s="122">
        <v>98200</v>
      </c>
      <c r="G33" s="140"/>
      <c r="H33" s="135"/>
    </row>
    <row r="34" spans="1:8">
      <c r="A34" s="7" t="s">
        <v>100</v>
      </c>
      <c r="B34" s="221"/>
      <c r="C34" s="138" t="s">
        <v>306</v>
      </c>
      <c r="D34" s="141" t="s">
        <v>307</v>
      </c>
      <c r="E34" s="54">
        <f>433000-42000</f>
        <v>391000</v>
      </c>
      <c r="F34" s="123">
        <f>415300-200-42000</f>
        <v>373100</v>
      </c>
      <c r="G34" s="140"/>
      <c r="H34" s="135"/>
    </row>
    <row r="35" spans="1:8">
      <c r="A35" s="7" t="s">
        <v>101</v>
      </c>
      <c r="B35" s="220" t="s">
        <v>24</v>
      </c>
      <c r="C35" s="138" t="s">
        <v>82</v>
      </c>
      <c r="D35" s="139"/>
      <c r="E35" s="54">
        <f>SUM(E36)</f>
        <v>198200</v>
      </c>
      <c r="F35" s="123">
        <f>SUM(F36)</f>
        <v>150800</v>
      </c>
      <c r="G35" s="61">
        <f>SUM(G36)</f>
        <v>0</v>
      </c>
      <c r="H35" s="61">
        <f>SUM(H36)</f>
        <v>0</v>
      </c>
    </row>
    <row r="36" spans="1:8" ht="25.5">
      <c r="A36" s="37" t="s">
        <v>102</v>
      </c>
      <c r="B36" s="221"/>
      <c r="C36" s="138" t="s">
        <v>304</v>
      </c>
      <c r="D36" s="142" t="s">
        <v>305</v>
      </c>
      <c r="E36" s="58">
        <f>181900+16300</f>
        <v>198200</v>
      </c>
      <c r="F36" s="122">
        <f>134500+16300</f>
        <v>150800</v>
      </c>
      <c r="G36" s="25"/>
      <c r="H36" s="143"/>
    </row>
    <row r="37" spans="1:8">
      <c r="A37" s="74" t="s">
        <v>103</v>
      </c>
      <c r="B37" s="133" t="s">
        <v>25</v>
      </c>
      <c r="C37" s="144" t="s">
        <v>231</v>
      </c>
      <c r="D37" s="145"/>
      <c r="E37" s="28">
        <f>SUM(E38)</f>
        <v>244100</v>
      </c>
      <c r="F37" s="146">
        <f>SUM(F38)</f>
        <v>147600</v>
      </c>
      <c r="G37" s="25">
        <f>SUM(G38)</f>
        <v>0</v>
      </c>
      <c r="H37" s="25">
        <f>SUM(H38)</f>
        <v>0</v>
      </c>
    </row>
    <row r="38" spans="1:8">
      <c r="A38" s="74" t="s">
        <v>104</v>
      </c>
      <c r="B38" s="133"/>
      <c r="C38" s="138" t="s">
        <v>308</v>
      </c>
      <c r="D38" s="145" t="s">
        <v>356</v>
      </c>
      <c r="E38" s="58">
        <v>244100</v>
      </c>
      <c r="F38" s="122">
        <f>168600-21000</f>
        <v>147600</v>
      </c>
      <c r="G38" s="25"/>
      <c r="H38" s="147"/>
    </row>
    <row r="39" spans="1:8">
      <c r="A39" s="75" t="s">
        <v>105</v>
      </c>
      <c r="B39" s="220" t="s">
        <v>132</v>
      </c>
      <c r="C39" s="148" t="s">
        <v>18</v>
      </c>
      <c r="D39" s="149"/>
      <c r="E39" s="121">
        <f>SUM(E40:E44)</f>
        <v>410800</v>
      </c>
      <c r="F39" s="99">
        <f>SUM(F40:F44)</f>
        <v>18100</v>
      </c>
      <c r="G39" s="99">
        <f>SUM(G40:G44)</f>
        <v>0</v>
      </c>
      <c r="H39" s="99">
        <f>SUM(H40:H44)</f>
        <v>0</v>
      </c>
    </row>
    <row r="40" spans="1:8" ht="25.5">
      <c r="A40" s="74" t="s">
        <v>106</v>
      </c>
      <c r="B40" s="222"/>
      <c r="C40" s="138" t="s">
        <v>304</v>
      </c>
      <c r="D40" s="150" t="s">
        <v>305</v>
      </c>
      <c r="E40" s="58">
        <f>100000+42000+17000</f>
        <v>159000</v>
      </c>
      <c r="F40" s="26"/>
      <c r="G40" s="26"/>
      <c r="H40" s="143"/>
    </row>
    <row r="41" spans="1:8" ht="12.75" customHeight="1">
      <c r="A41" s="76" t="s">
        <v>107</v>
      </c>
      <c r="B41" s="222"/>
      <c r="C41" s="151" t="s">
        <v>309</v>
      </c>
      <c r="D41" s="152" t="s">
        <v>310</v>
      </c>
      <c r="E41" s="54">
        <v>179200</v>
      </c>
      <c r="F41" s="61">
        <v>5100</v>
      </c>
      <c r="G41" s="140"/>
      <c r="H41" s="135"/>
    </row>
    <row r="42" spans="1:8" ht="12.75" customHeight="1">
      <c r="A42" s="76" t="s">
        <v>108</v>
      </c>
      <c r="B42" s="222"/>
      <c r="C42" s="151" t="s">
        <v>311</v>
      </c>
      <c r="D42" s="152" t="s">
        <v>312</v>
      </c>
      <c r="E42" s="54">
        <v>71100</v>
      </c>
      <c r="F42" s="123">
        <v>12400</v>
      </c>
      <c r="G42" s="140"/>
      <c r="H42" s="135"/>
    </row>
    <row r="43" spans="1:8" ht="26.25" customHeight="1">
      <c r="A43" s="74" t="s">
        <v>109</v>
      </c>
      <c r="B43" s="222"/>
      <c r="C43" s="55" t="s">
        <v>365</v>
      </c>
      <c r="D43" s="150" t="s">
        <v>364</v>
      </c>
      <c r="E43" s="58">
        <v>800</v>
      </c>
      <c r="F43" s="41"/>
      <c r="G43" s="28"/>
      <c r="H43" s="25"/>
    </row>
    <row r="44" spans="1:8" ht="26.25" customHeight="1">
      <c r="A44" s="74" t="s">
        <v>110</v>
      </c>
      <c r="B44" s="222"/>
      <c r="C44" s="55" t="s">
        <v>313</v>
      </c>
      <c r="D44" s="150" t="s">
        <v>314</v>
      </c>
      <c r="E44" s="58">
        <v>700</v>
      </c>
      <c r="F44" s="122">
        <v>600</v>
      </c>
      <c r="G44" s="28"/>
      <c r="H44" s="25"/>
    </row>
    <row r="45" spans="1:8" ht="37.5" customHeight="1">
      <c r="A45" s="37" t="s">
        <v>180</v>
      </c>
      <c r="B45" s="62" t="s">
        <v>19</v>
      </c>
      <c r="C45" s="22" t="s">
        <v>20</v>
      </c>
      <c r="D45" s="38"/>
      <c r="E45" s="82">
        <f>SUM(E46+E61)</f>
        <v>1177300</v>
      </c>
      <c r="F45" s="153">
        <f>SUM(F46+F61)</f>
        <v>860900</v>
      </c>
      <c r="G45" s="82">
        <f>SUM(G46+G61)</f>
        <v>0</v>
      </c>
      <c r="H45" s="82">
        <f>SUM(H46+H61)</f>
        <v>0</v>
      </c>
    </row>
    <row r="46" spans="1:8">
      <c r="A46" s="37" t="s">
        <v>181</v>
      </c>
      <c r="B46" s="220" t="s">
        <v>26</v>
      </c>
      <c r="C46" s="60" t="s">
        <v>69</v>
      </c>
      <c r="D46" s="45"/>
      <c r="E46" s="28">
        <f>SUM(E47:E47:E60)</f>
        <v>525100</v>
      </c>
      <c r="F46" s="146">
        <f>SUM(F47:F60)</f>
        <v>252700</v>
      </c>
      <c r="G46" s="28">
        <f>SUM(G47:G47:G60)</f>
        <v>0</v>
      </c>
      <c r="H46" s="28">
        <f>SUM(H47:H47:H60)</f>
        <v>0</v>
      </c>
    </row>
    <row r="47" spans="1:8">
      <c r="A47" s="7" t="s">
        <v>182</v>
      </c>
      <c r="B47" s="222"/>
      <c r="C47" s="55" t="s">
        <v>315</v>
      </c>
      <c r="D47" s="59" t="s">
        <v>316</v>
      </c>
      <c r="E47" s="54">
        <v>18400</v>
      </c>
      <c r="F47" s="122">
        <v>15800</v>
      </c>
      <c r="G47" s="10"/>
      <c r="H47" s="135"/>
    </row>
    <row r="48" spans="1:8">
      <c r="A48" s="37" t="s">
        <v>183</v>
      </c>
      <c r="B48" s="222"/>
      <c r="C48" s="55" t="s">
        <v>317</v>
      </c>
      <c r="D48" s="53" t="s">
        <v>318</v>
      </c>
      <c r="E48" s="58">
        <v>24300</v>
      </c>
      <c r="F48" s="122">
        <v>23900</v>
      </c>
      <c r="G48" s="29"/>
      <c r="H48" s="143"/>
    </row>
    <row r="49" spans="1:8">
      <c r="A49" s="7" t="s">
        <v>184</v>
      </c>
      <c r="B49" s="222"/>
      <c r="C49" s="55" t="s">
        <v>319</v>
      </c>
      <c r="D49" s="59" t="s">
        <v>320</v>
      </c>
      <c r="E49" s="54">
        <v>18400</v>
      </c>
      <c r="F49" s="123">
        <v>10600</v>
      </c>
      <c r="G49" s="140"/>
      <c r="H49" s="135"/>
    </row>
    <row r="50" spans="1:8" ht="25.5">
      <c r="A50" s="37" t="s">
        <v>185</v>
      </c>
      <c r="B50" s="222"/>
      <c r="C50" s="55" t="s">
        <v>321</v>
      </c>
      <c r="D50" s="53" t="s">
        <v>318</v>
      </c>
      <c r="E50" s="58">
        <v>8200</v>
      </c>
      <c r="F50" s="122">
        <v>8000</v>
      </c>
      <c r="G50" s="26"/>
      <c r="H50" s="143"/>
    </row>
    <row r="51" spans="1:8">
      <c r="A51" s="7" t="s">
        <v>186</v>
      </c>
      <c r="B51" s="222"/>
      <c r="C51" s="55" t="s">
        <v>322</v>
      </c>
      <c r="D51" s="59" t="s">
        <v>323</v>
      </c>
      <c r="E51" s="54">
        <v>11600</v>
      </c>
      <c r="F51" s="123">
        <v>10300</v>
      </c>
      <c r="G51" s="140"/>
      <c r="H51" s="135"/>
    </row>
    <row r="52" spans="1:8">
      <c r="A52" s="7" t="s">
        <v>187</v>
      </c>
      <c r="B52" s="222"/>
      <c r="C52" s="55" t="s">
        <v>325</v>
      </c>
      <c r="D52" s="59" t="s">
        <v>324</v>
      </c>
      <c r="E52" s="54">
        <v>15000</v>
      </c>
      <c r="F52" s="123">
        <v>13700</v>
      </c>
      <c r="G52" s="140"/>
      <c r="H52" s="135"/>
    </row>
    <row r="53" spans="1:8">
      <c r="A53" s="7" t="s">
        <v>188</v>
      </c>
      <c r="B53" s="222"/>
      <c r="C53" s="55" t="s">
        <v>326</v>
      </c>
      <c r="D53" s="59" t="s">
        <v>318</v>
      </c>
      <c r="E53" s="54">
        <v>4500</v>
      </c>
      <c r="F53" s="123">
        <v>4400</v>
      </c>
      <c r="G53" s="10"/>
      <c r="H53" s="135"/>
    </row>
    <row r="54" spans="1:8" ht="25.5">
      <c r="A54" s="37" t="s">
        <v>189</v>
      </c>
      <c r="B54" s="222"/>
      <c r="C54" s="154" t="s">
        <v>327</v>
      </c>
      <c r="D54" s="53" t="s">
        <v>316</v>
      </c>
      <c r="E54" s="58">
        <v>1700</v>
      </c>
      <c r="F54" s="122">
        <v>1600</v>
      </c>
      <c r="G54" s="29"/>
      <c r="H54" s="143"/>
    </row>
    <row r="55" spans="1:8" ht="25.5">
      <c r="A55" s="155" t="s">
        <v>190</v>
      </c>
      <c r="B55" s="222"/>
      <c r="C55" s="154" t="s">
        <v>328</v>
      </c>
      <c r="D55" s="83" t="s">
        <v>316</v>
      </c>
      <c r="E55" s="58">
        <v>400</v>
      </c>
      <c r="F55" s="122"/>
      <c r="G55" s="29"/>
      <c r="H55" s="135"/>
    </row>
    <row r="56" spans="1:8" ht="12.75" customHeight="1">
      <c r="A56" s="66" t="s">
        <v>191</v>
      </c>
      <c r="B56" s="222"/>
      <c r="C56" s="156" t="s">
        <v>329</v>
      </c>
      <c r="D56" s="157" t="s">
        <v>318</v>
      </c>
      <c r="E56" s="158">
        <v>8600</v>
      </c>
      <c r="F56" s="159">
        <f>4900+200+300</f>
        <v>5400</v>
      </c>
      <c r="G56" s="160"/>
      <c r="H56" s="135"/>
    </row>
    <row r="57" spans="1:8" ht="38.25">
      <c r="A57" s="37" t="s">
        <v>192</v>
      </c>
      <c r="B57" s="222"/>
      <c r="C57" s="161" t="s">
        <v>330</v>
      </c>
      <c r="D57" s="162" t="s">
        <v>318</v>
      </c>
      <c r="E57" s="58">
        <v>600</v>
      </c>
      <c r="F57" s="58"/>
      <c r="G57" s="163"/>
      <c r="H57" s="143"/>
    </row>
    <row r="58" spans="1:8">
      <c r="A58" s="7" t="s">
        <v>193</v>
      </c>
      <c r="B58" s="222"/>
      <c r="C58" s="55" t="s">
        <v>331</v>
      </c>
      <c r="D58" s="59" t="s">
        <v>332</v>
      </c>
      <c r="E58" s="54">
        <v>164000</v>
      </c>
      <c r="F58" s="123">
        <f>157800+1200</f>
        <v>159000</v>
      </c>
      <c r="G58" s="21"/>
      <c r="H58" s="135"/>
    </row>
    <row r="59" spans="1:8">
      <c r="A59" s="7" t="s">
        <v>194</v>
      </c>
      <c r="B59" s="222"/>
      <c r="C59" s="55" t="s">
        <v>333</v>
      </c>
      <c r="D59" s="59" t="s">
        <v>334</v>
      </c>
      <c r="E59" s="54">
        <f>141000+100000</f>
        <v>241000</v>
      </c>
      <c r="F59" s="123"/>
      <c r="G59" s="21"/>
      <c r="H59" s="135"/>
    </row>
    <row r="60" spans="1:8" ht="25.5">
      <c r="A60" s="7" t="s">
        <v>195</v>
      </c>
      <c r="B60" s="221"/>
      <c r="C60" s="55" t="s">
        <v>369</v>
      </c>
      <c r="D60" s="150" t="s">
        <v>370</v>
      </c>
      <c r="E60" s="58">
        <v>8400</v>
      </c>
      <c r="F60" s="164"/>
      <c r="G60" s="140"/>
      <c r="H60" s="165"/>
    </row>
    <row r="61" spans="1:8">
      <c r="A61" s="37" t="s">
        <v>196</v>
      </c>
      <c r="B61" s="36" t="s">
        <v>27</v>
      </c>
      <c r="C61" s="9" t="s">
        <v>21</v>
      </c>
      <c r="D61" s="38" t="s">
        <v>335</v>
      </c>
      <c r="E61" s="28">
        <v>652200</v>
      </c>
      <c r="F61" s="146">
        <f>614200-6000</f>
        <v>608200</v>
      </c>
      <c r="G61" s="25"/>
      <c r="H61" s="135"/>
    </row>
    <row r="62" spans="1:8" ht="25.5">
      <c r="A62" s="37" t="s">
        <v>197</v>
      </c>
      <c r="B62" s="31" t="s">
        <v>76</v>
      </c>
      <c r="C62" s="49" t="s">
        <v>235</v>
      </c>
      <c r="D62" s="30"/>
      <c r="E62" s="30">
        <f>SUM(E63:E68)</f>
        <v>143000</v>
      </c>
      <c r="F62" s="30">
        <f>SUM(F63:F68)</f>
        <v>64400</v>
      </c>
      <c r="G62" s="30">
        <f>SUM(G63:G68)</f>
        <v>0</v>
      </c>
      <c r="H62" s="30">
        <f>SUM(H63:H68)</f>
        <v>0</v>
      </c>
    </row>
    <row r="63" spans="1:8">
      <c r="A63" s="37" t="s">
        <v>198</v>
      </c>
      <c r="B63" s="40" t="s">
        <v>81</v>
      </c>
      <c r="C63" s="18" t="s">
        <v>257</v>
      </c>
      <c r="D63" s="25" t="s">
        <v>336</v>
      </c>
      <c r="E63" s="25">
        <v>1800</v>
      </c>
      <c r="F63" s="25">
        <v>1800</v>
      </c>
      <c r="G63" s="25"/>
      <c r="H63" s="25"/>
    </row>
    <row r="64" spans="1:8">
      <c r="A64" s="37" t="s">
        <v>199</v>
      </c>
      <c r="B64" s="40" t="s">
        <v>337</v>
      </c>
      <c r="C64" s="18" t="s">
        <v>247</v>
      </c>
      <c r="D64" s="25" t="s">
        <v>336</v>
      </c>
      <c r="E64" s="25">
        <v>1800</v>
      </c>
      <c r="F64" s="25">
        <v>1800</v>
      </c>
      <c r="G64" s="25"/>
      <c r="H64" s="25"/>
    </row>
    <row r="65" spans="1:8">
      <c r="A65" s="37" t="s">
        <v>200</v>
      </c>
      <c r="B65" s="40" t="s">
        <v>338</v>
      </c>
      <c r="C65" s="118" t="s">
        <v>55</v>
      </c>
      <c r="D65" s="25" t="s">
        <v>336</v>
      </c>
      <c r="E65" s="25">
        <v>2100</v>
      </c>
      <c r="F65" s="25">
        <v>2100</v>
      </c>
      <c r="G65" s="25"/>
      <c r="H65" s="25"/>
    </row>
    <row r="66" spans="1:8">
      <c r="A66" s="37" t="s">
        <v>201</v>
      </c>
      <c r="B66" s="40" t="s">
        <v>358</v>
      </c>
      <c r="C66" s="118" t="s">
        <v>82</v>
      </c>
      <c r="D66" s="25" t="s">
        <v>336</v>
      </c>
      <c r="E66" s="25">
        <f>2200-400</f>
        <v>1800</v>
      </c>
      <c r="F66" s="25">
        <f>2200-400</f>
        <v>1800</v>
      </c>
      <c r="G66" s="25"/>
      <c r="H66" s="25"/>
    </row>
    <row r="67" spans="1:8">
      <c r="A67" s="37" t="s">
        <v>202</v>
      </c>
      <c r="B67" s="50" t="s">
        <v>371</v>
      </c>
      <c r="C67" s="118" t="s">
        <v>119</v>
      </c>
      <c r="D67" s="25" t="s">
        <v>336</v>
      </c>
      <c r="E67" s="25">
        <f>2000-200</f>
        <v>1800</v>
      </c>
      <c r="F67" s="25">
        <f>2000-200</f>
        <v>1800</v>
      </c>
      <c r="G67" s="25"/>
      <c r="H67" s="25"/>
    </row>
    <row r="68" spans="1:8">
      <c r="A68" s="37" t="s">
        <v>203</v>
      </c>
      <c r="B68" s="220" t="s">
        <v>372</v>
      </c>
      <c r="C68" s="118" t="s">
        <v>18</v>
      </c>
      <c r="D68" s="166"/>
      <c r="E68" s="25">
        <f>SUM(E69)</f>
        <v>133700</v>
      </c>
      <c r="F68" s="25">
        <f>SUM(F69)</f>
        <v>55100</v>
      </c>
      <c r="G68" s="25">
        <f>SUM(G69)</f>
        <v>0</v>
      </c>
      <c r="H68" s="25">
        <f>SUM(H69)</f>
        <v>0</v>
      </c>
    </row>
    <row r="69" spans="1:8" ht="25.5">
      <c r="A69" s="37" t="s">
        <v>204</v>
      </c>
      <c r="B69" s="221"/>
      <c r="C69" s="88" t="s">
        <v>339</v>
      </c>
      <c r="D69" s="167" t="s">
        <v>336</v>
      </c>
      <c r="E69" s="84">
        <f>129500+600+3600</f>
        <v>133700</v>
      </c>
      <c r="F69" s="84">
        <f>46600+8500</f>
        <v>55100</v>
      </c>
      <c r="G69" s="25"/>
      <c r="H69" s="135"/>
    </row>
    <row r="70" spans="1:8">
      <c r="A70" s="66" t="s">
        <v>205</v>
      </c>
      <c r="B70" s="13"/>
      <c r="C70" s="14" t="s">
        <v>134</v>
      </c>
      <c r="D70" s="15"/>
      <c r="E70" s="27">
        <f>SUM(E62+E45+E31+E18)</f>
        <v>2919800</v>
      </c>
      <c r="F70" s="27">
        <f>SUM(F62+F45+F31+F18)</f>
        <v>1713100</v>
      </c>
      <c r="G70" s="27">
        <f>SUM(G62+G45+G31+G18)</f>
        <v>255400</v>
      </c>
      <c r="H70" s="27">
        <f>SUM(H62+H45+H31+H18)</f>
        <v>0</v>
      </c>
    </row>
    <row r="71" spans="1:8">
      <c r="A71" s="113"/>
      <c r="D71" s="119"/>
      <c r="E71" s="119"/>
    </row>
  </sheetData>
  <mergeCells count="24">
    <mergeCell ref="E7:G7"/>
    <mergeCell ref="A13:A16"/>
    <mergeCell ref="B13:B16"/>
    <mergeCell ref="G15:G16"/>
    <mergeCell ref="E13:H13"/>
    <mergeCell ref="E14:E16"/>
    <mergeCell ref="F14:G14"/>
    <mergeCell ref="F15:F16"/>
    <mergeCell ref="E1:H1"/>
    <mergeCell ref="E2:H2"/>
    <mergeCell ref="E3:H3"/>
    <mergeCell ref="E4:H4"/>
    <mergeCell ref="H14:H16"/>
    <mergeCell ref="C13:C16"/>
    <mergeCell ref="A10:H10"/>
    <mergeCell ref="A9:H9"/>
    <mergeCell ref="E5:G5"/>
    <mergeCell ref="E6:G6"/>
    <mergeCell ref="B68:B69"/>
    <mergeCell ref="B35:B36"/>
    <mergeCell ref="B39:B44"/>
    <mergeCell ref="B46:B60"/>
    <mergeCell ref="B32:B34"/>
    <mergeCell ref="D13:D16"/>
  </mergeCells>
  <pageMargins left="0.59055118110236227" right="0.19685039370078741" top="0.39370078740157483" bottom="0.39370078740157483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1"/>
  <sheetViews>
    <sheetView zoomScale="135" zoomScaleNormal="135" workbookViewId="0">
      <selection activeCell="F7" sqref="F7:H7"/>
    </sheetView>
  </sheetViews>
  <sheetFormatPr defaultRowHeight="12.75"/>
  <cols>
    <col min="1" max="1" width="4" customWidth="1"/>
    <col min="2" max="2" width="10.140625" customWidth="1"/>
    <col min="3" max="3" width="33.140625" customWidth="1"/>
    <col min="4" max="4" width="9.85546875" customWidth="1"/>
    <col min="5" max="6" width="8.7109375" customWidth="1"/>
    <col min="7" max="7" width="11.28515625" customWidth="1"/>
    <col min="8" max="8" width="10.140625" customWidth="1"/>
  </cols>
  <sheetData>
    <row r="1" spans="1:11" ht="14.1" customHeight="1">
      <c r="A1" s="3"/>
      <c r="B1" s="3"/>
      <c r="C1" s="3"/>
      <c r="D1" s="34"/>
      <c r="E1" s="35"/>
      <c r="F1" s="226" t="s">
        <v>7</v>
      </c>
      <c r="G1" s="226"/>
      <c r="H1" s="226"/>
    </row>
    <row r="2" spans="1:11" ht="14.1" customHeight="1">
      <c r="A2" s="3"/>
      <c r="B2" s="3"/>
      <c r="C2" s="3"/>
      <c r="D2" s="34"/>
      <c r="E2" s="35"/>
      <c r="F2" s="226" t="s">
        <v>382</v>
      </c>
      <c r="G2" s="226"/>
      <c r="H2" s="226"/>
      <c r="I2" s="35"/>
    </row>
    <row r="3" spans="1:11" ht="14.1" customHeight="1">
      <c r="A3" s="1"/>
      <c r="B3" s="2"/>
      <c r="C3" s="117"/>
      <c r="D3" s="35"/>
      <c r="E3" s="35"/>
      <c r="F3" s="226" t="s">
        <v>405</v>
      </c>
      <c r="G3" s="226"/>
      <c r="H3" s="226"/>
    </row>
    <row r="4" spans="1:11" ht="14.1" customHeight="1">
      <c r="A4" s="1"/>
      <c r="B4" s="2"/>
      <c r="C4" s="117"/>
      <c r="D4" s="35"/>
      <c r="E4" s="35"/>
      <c r="F4" s="16" t="s">
        <v>136</v>
      </c>
      <c r="G4" s="34"/>
      <c r="H4" s="34"/>
    </row>
    <row r="5" spans="1:11" ht="14.1" customHeight="1">
      <c r="A5" s="1"/>
      <c r="B5" s="2"/>
      <c r="C5" s="117"/>
      <c r="D5" s="35"/>
      <c r="E5" s="35"/>
      <c r="F5" s="227" t="s">
        <v>407</v>
      </c>
      <c r="G5" s="227"/>
      <c r="H5" s="227"/>
    </row>
    <row r="6" spans="1:11" ht="14.1" customHeight="1">
      <c r="A6" s="1"/>
      <c r="B6" s="2"/>
      <c r="C6" s="117"/>
      <c r="D6" s="35"/>
      <c r="E6" s="35"/>
      <c r="F6" s="227" t="s">
        <v>433</v>
      </c>
      <c r="G6" s="227"/>
      <c r="H6" s="227"/>
    </row>
    <row r="7" spans="1:11" ht="14.1" customHeight="1">
      <c r="A7" s="1"/>
      <c r="B7" s="2"/>
      <c r="C7" s="117"/>
      <c r="D7" s="35"/>
      <c r="E7" s="35"/>
      <c r="F7" s="227" t="s">
        <v>435</v>
      </c>
      <c r="G7" s="227"/>
      <c r="H7" s="227"/>
    </row>
    <row r="8" spans="1:11" ht="15" customHeight="1">
      <c r="A8" s="1"/>
      <c r="B8" s="2"/>
      <c r="C8" s="3"/>
      <c r="D8" s="43"/>
      <c r="E8" s="16"/>
      <c r="F8" s="16"/>
      <c r="G8" s="16"/>
      <c r="H8" s="16"/>
    </row>
    <row r="9" spans="1:11" ht="12.75" customHeight="1">
      <c r="A9" s="243" t="s">
        <v>386</v>
      </c>
      <c r="B9" s="243"/>
      <c r="C9" s="243"/>
      <c r="D9" s="243"/>
      <c r="E9" s="243"/>
      <c r="F9" s="243"/>
      <c r="G9" s="243"/>
      <c r="H9" s="243"/>
    </row>
    <row r="10" spans="1:11" ht="12.75" customHeight="1">
      <c r="A10" s="243" t="s">
        <v>298</v>
      </c>
      <c r="B10" s="243"/>
      <c r="C10" s="243"/>
      <c r="D10" s="243"/>
      <c r="E10" s="243"/>
      <c r="F10" s="243"/>
      <c r="G10" s="243"/>
      <c r="H10" s="243"/>
      <c r="I10" s="48"/>
    </row>
    <row r="11" spans="1:11" ht="12.75" customHeight="1">
      <c r="A11" s="1"/>
      <c r="B11" s="2"/>
      <c r="C11" s="3"/>
      <c r="D11" s="43"/>
      <c r="E11" s="108"/>
      <c r="F11" s="108"/>
      <c r="G11" s="108"/>
      <c r="H11" s="107" t="s">
        <v>260</v>
      </c>
      <c r="I11" s="33"/>
    </row>
    <row r="12" spans="1:11">
      <c r="A12" s="228" t="s">
        <v>0</v>
      </c>
      <c r="B12" s="232" t="s">
        <v>1</v>
      </c>
      <c r="C12" s="228" t="s">
        <v>50</v>
      </c>
      <c r="D12" s="223" t="s">
        <v>2</v>
      </c>
      <c r="E12" s="236" t="s">
        <v>127</v>
      </c>
      <c r="F12" s="237"/>
      <c r="G12" s="237"/>
      <c r="H12" s="238"/>
    </row>
    <row r="13" spans="1:11" ht="12.75" customHeight="1">
      <c r="A13" s="229"/>
      <c r="B13" s="233"/>
      <c r="C13" s="229"/>
      <c r="D13" s="224"/>
      <c r="E13" s="228" t="s">
        <v>3</v>
      </c>
      <c r="F13" s="244" t="s">
        <v>4</v>
      </c>
      <c r="G13" s="244"/>
      <c r="H13" s="245"/>
    </row>
    <row r="14" spans="1:11">
      <c r="A14" s="229"/>
      <c r="B14" s="233"/>
      <c r="C14" s="229"/>
      <c r="D14" s="224"/>
      <c r="E14" s="229"/>
      <c r="F14" s="246" t="s">
        <v>125</v>
      </c>
      <c r="G14" s="246"/>
      <c r="H14" s="228" t="s">
        <v>51</v>
      </c>
    </row>
    <row r="15" spans="1:11" ht="28.5" customHeight="1">
      <c r="A15" s="230"/>
      <c r="B15" s="234"/>
      <c r="C15" s="230"/>
      <c r="D15" s="225"/>
      <c r="E15" s="230"/>
      <c r="F15" s="90" t="s">
        <v>126</v>
      </c>
      <c r="G15" s="92" t="s">
        <v>8</v>
      </c>
      <c r="H15" s="230"/>
    </row>
    <row r="16" spans="1:11" ht="12.75" customHeight="1">
      <c r="A16" s="5">
        <v>1</v>
      </c>
      <c r="B16" s="6" t="s">
        <v>5</v>
      </c>
      <c r="C16" s="4">
        <v>3</v>
      </c>
      <c r="D16" s="6" t="s">
        <v>6</v>
      </c>
      <c r="E16" s="4">
        <v>5</v>
      </c>
      <c r="F16" s="4">
        <v>6</v>
      </c>
      <c r="G16" s="4">
        <v>7</v>
      </c>
      <c r="H16" s="4">
        <v>8</v>
      </c>
      <c r="K16" s="132"/>
    </row>
    <row r="17" spans="1:8" ht="25.5" customHeight="1">
      <c r="A17" s="37" t="s">
        <v>84</v>
      </c>
      <c r="B17" s="86" t="s">
        <v>10</v>
      </c>
      <c r="C17" s="17" t="s">
        <v>11</v>
      </c>
      <c r="D17" s="42"/>
      <c r="E17" s="81">
        <f>SUM(E18:E39)</f>
        <v>373100</v>
      </c>
      <c r="F17" s="81">
        <f>SUM(F18:F39)</f>
        <v>347100</v>
      </c>
      <c r="G17" s="81">
        <f>SUM(G18:G39)</f>
        <v>156700</v>
      </c>
      <c r="H17" s="81">
        <f>SUM(H18:H39)</f>
        <v>26000</v>
      </c>
    </row>
    <row r="18" spans="1:8" ht="12.75" customHeight="1">
      <c r="A18" s="37" t="s">
        <v>85</v>
      </c>
      <c r="B18" s="12" t="s">
        <v>29</v>
      </c>
      <c r="C18" s="18" t="s">
        <v>261</v>
      </c>
      <c r="D18" s="12" t="s">
        <v>71</v>
      </c>
      <c r="E18" s="20">
        <v>101700</v>
      </c>
      <c r="F18" s="20">
        <f t="shared" ref="F18:F39" si="0">E18-H18</f>
        <v>101700</v>
      </c>
      <c r="G18" s="20">
        <v>98000</v>
      </c>
      <c r="H18" s="81"/>
    </row>
    <row r="19" spans="1:8" ht="12.75" customHeight="1">
      <c r="A19" s="37" t="s">
        <v>86</v>
      </c>
      <c r="B19" s="12" t="s">
        <v>30</v>
      </c>
      <c r="C19" s="18" t="s">
        <v>248</v>
      </c>
      <c r="D19" s="42" t="s">
        <v>71</v>
      </c>
      <c r="E19" s="41">
        <f>8600+100+3100</f>
        <v>11800</v>
      </c>
      <c r="F19" s="20">
        <f t="shared" si="0"/>
        <v>11800</v>
      </c>
      <c r="G19" s="41">
        <f>8500+3100</f>
        <v>11600</v>
      </c>
      <c r="H19" s="81"/>
    </row>
    <row r="20" spans="1:8" ht="12.75" customHeight="1">
      <c r="A20" s="37" t="s">
        <v>87</v>
      </c>
      <c r="B20" s="12" t="s">
        <v>31</v>
      </c>
      <c r="C20" s="18" t="s">
        <v>53</v>
      </c>
      <c r="D20" s="42" t="s">
        <v>71</v>
      </c>
      <c r="E20" s="41">
        <f>23000+200+9100</f>
        <v>32300</v>
      </c>
      <c r="F20" s="20">
        <f t="shared" si="0"/>
        <v>32300</v>
      </c>
      <c r="G20" s="41">
        <f>22600+9100</f>
        <v>31700</v>
      </c>
      <c r="H20" s="81"/>
    </row>
    <row r="21" spans="1:8" ht="25.5" customHeight="1">
      <c r="A21" s="37" t="s">
        <v>88</v>
      </c>
      <c r="B21" s="12" t="s">
        <v>32</v>
      </c>
      <c r="C21" s="18" t="s">
        <v>242</v>
      </c>
      <c r="D21" s="42" t="s">
        <v>71</v>
      </c>
      <c r="E21" s="41">
        <f>8900+100+3700</f>
        <v>12700</v>
      </c>
      <c r="F21" s="41">
        <f t="shared" si="0"/>
        <v>12700</v>
      </c>
      <c r="G21" s="41">
        <f>8800+3700</f>
        <v>12500</v>
      </c>
      <c r="H21" s="81"/>
    </row>
    <row r="22" spans="1:8" ht="12.75" customHeight="1">
      <c r="A22" s="37" t="s">
        <v>89</v>
      </c>
      <c r="B22" s="12" t="s">
        <v>33</v>
      </c>
      <c r="C22" s="18" t="s">
        <v>12</v>
      </c>
      <c r="D22" s="42" t="s">
        <v>71</v>
      </c>
      <c r="E22" s="41">
        <f>12000+12100+800+100</f>
        <v>25000</v>
      </c>
      <c r="F22" s="20">
        <f t="shared" si="0"/>
        <v>13000</v>
      </c>
      <c r="G22" s="41">
        <f>300+100</f>
        <v>400</v>
      </c>
      <c r="H22" s="41">
        <v>12000</v>
      </c>
    </row>
    <row r="23" spans="1:8" ht="12.75" customHeight="1">
      <c r="A23" s="37" t="s">
        <v>90</v>
      </c>
      <c r="B23" s="12" t="s">
        <v>34</v>
      </c>
      <c r="C23" s="18" t="s">
        <v>243</v>
      </c>
      <c r="D23" s="42" t="s">
        <v>71</v>
      </c>
      <c r="E23" s="41">
        <f>6200+600-300</f>
        <v>6500</v>
      </c>
      <c r="F23" s="20">
        <f t="shared" si="0"/>
        <v>6500</v>
      </c>
      <c r="G23" s="41">
        <f>300-300</f>
        <v>0</v>
      </c>
      <c r="H23" s="41"/>
    </row>
    <row r="24" spans="1:8" ht="12.75" customHeight="1">
      <c r="A24" s="37" t="s">
        <v>91</v>
      </c>
      <c r="B24" s="12" t="s">
        <v>35</v>
      </c>
      <c r="C24" s="18" t="s">
        <v>256</v>
      </c>
      <c r="D24" s="42" t="s">
        <v>71</v>
      </c>
      <c r="E24" s="41">
        <f>6300+400</f>
        <v>6700</v>
      </c>
      <c r="F24" s="20">
        <f t="shared" si="0"/>
        <v>6700</v>
      </c>
      <c r="G24" s="41">
        <v>300</v>
      </c>
      <c r="H24" s="41"/>
    </row>
    <row r="25" spans="1:8" ht="25.5" customHeight="1">
      <c r="A25" s="37" t="s">
        <v>92</v>
      </c>
      <c r="B25" s="42" t="s">
        <v>36</v>
      </c>
      <c r="C25" s="18" t="s">
        <v>244</v>
      </c>
      <c r="D25" s="42" t="s">
        <v>71</v>
      </c>
      <c r="E25" s="41">
        <f>16400+300</f>
        <v>16700</v>
      </c>
      <c r="F25" s="41">
        <f t="shared" si="0"/>
        <v>16700</v>
      </c>
      <c r="G25" s="41">
        <v>300</v>
      </c>
      <c r="H25" s="41"/>
    </row>
    <row r="26" spans="1:8" ht="12.75" customHeight="1">
      <c r="A26" s="37" t="s">
        <v>93</v>
      </c>
      <c r="B26" s="12" t="s">
        <v>37</v>
      </c>
      <c r="C26" s="18" t="s">
        <v>257</v>
      </c>
      <c r="D26" s="42" t="s">
        <v>71</v>
      </c>
      <c r="E26" s="41">
        <f>9000+22200+600+100</f>
        <v>31900</v>
      </c>
      <c r="F26" s="20">
        <f t="shared" si="0"/>
        <v>22900</v>
      </c>
      <c r="G26" s="41">
        <f>300+100</f>
        <v>400</v>
      </c>
      <c r="H26" s="41">
        <v>9000</v>
      </c>
    </row>
    <row r="27" spans="1:8" ht="12.75" customHeight="1">
      <c r="A27" s="37" t="s">
        <v>94</v>
      </c>
      <c r="B27" s="12" t="s">
        <v>38</v>
      </c>
      <c r="C27" s="18" t="s">
        <v>261</v>
      </c>
      <c r="D27" s="42" t="s">
        <v>71</v>
      </c>
      <c r="E27" s="41">
        <f>5000+21200+1500</f>
        <v>27700</v>
      </c>
      <c r="F27" s="20">
        <f t="shared" si="0"/>
        <v>22700</v>
      </c>
      <c r="G27" s="41">
        <v>300</v>
      </c>
      <c r="H27" s="41">
        <v>5000</v>
      </c>
    </row>
    <row r="28" spans="1:8" ht="12.75" customHeight="1">
      <c r="A28" s="37" t="s">
        <v>95</v>
      </c>
      <c r="B28" s="12" t="s">
        <v>39</v>
      </c>
      <c r="C28" s="18" t="s">
        <v>253</v>
      </c>
      <c r="D28" s="42" t="s">
        <v>71</v>
      </c>
      <c r="E28" s="41">
        <f>2000+100</f>
        <v>2100</v>
      </c>
      <c r="F28" s="20">
        <f t="shared" si="0"/>
        <v>2100</v>
      </c>
      <c r="G28" s="41"/>
      <c r="H28" s="41"/>
    </row>
    <row r="29" spans="1:8" ht="12.75" customHeight="1">
      <c r="A29" s="37" t="s">
        <v>96</v>
      </c>
      <c r="B29" s="12" t="s">
        <v>40</v>
      </c>
      <c r="C29" s="18" t="s">
        <v>13</v>
      </c>
      <c r="D29" s="42" t="s">
        <v>71</v>
      </c>
      <c r="E29" s="41">
        <f>7400+700</f>
        <v>8100</v>
      </c>
      <c r="F29" s="20">
        <f t="shared" si="0"/>
        <v>8100</v>
      </c>
      <c r="G29" s="41">
        <v>200</v>
      </c>
      <c r="H29" s="41"/>
    </row>
    <row r="30" spans="1:8" ht="26.25" customHeight="1">
      <c r="A30" s="37" t="s">
        <v>97</v>
      </c>
      <c r="B30" s="42" t="s">
        <v>41</v>
      </c>
      <c r="C30" s="18" t="s">
        <v>245</v>
      </c>
      <c r="D30" s="42" t="s">
        <v>71</v>
      </c>
      <c r="E30" s="41">
        <v>38000</v>
      </c>
      <c r="F30" s="41">
        <f t="shared" si="0"/>
        <v>38000</v>
      </c>
      <c r="G30" s="41"/>
      <c r="H30" s="41"/>
    </row>
    <row r="31" spans="1:8" ht="12.75" customHeight="1">
      <c r="A31" s="37" t="s">
        <v>98</v>
      </c>
      <c r="B31" s="12" t="s">
        <v>42</v>
      </c>
      <c r="C31" s="18" t="s">
        <v>246</v>
      </c>
      <c r="D31" s="42" t="s">
        <v>71</v>
      </c>
      <c r="E31" s="41">
        <f>7700+200</f>
        <v>7900</v>
      </c>
      <c r="F31" s="20">
        <f t="shared" si="0"/>
        <v>7900</v>
      </c>
      <c r="G31" s="41">
        <v>100</v>
      </c>
      <c r="H31" s="41"/>
    </row>
    <row r="32" spans="1:8" ht="12.75" customHeight="1">
      <c r="A32" s="37" t="s">
        <v>99</v>
      </c>
      <c r="B32" s="12" t="s">
        <v>43</v>
      </c>
      <c r="C32" s="18" t="s">
        <v>247</v>
      </c>
      <c r="D32" s="42" t="s">
        <v>71</v>
      </c>
      <c r="E32" s="41">
        <f>1800+300</f>
        <v>2100</v>
      </c>
      <c r="F32" s="20">
        <f t="shared" si="0"/>
        <v>2100</v>
      </c>
      <c r="G32" s="41">
        <v>200</v>
      </c>
      <c r="H32" s="41"/>
    </row>
    <row r="33" spans="1:13" ht="12.75" customHeight="1">
      <c r="A33" s="37" t="s">
        <v>100</v>
      </c>
      <c r="B33" s="12" t="s">
        <v>44</v>
      </c>
      <c r="C33" s="18" t="s">
        <v>430</v>
      </c>
      <c r="D33" s="42" t="s">
        <v>71</v>
      </c>
      <c r="E33" s="41">
        <v>200</v>
      </c>
      <c r="F33" s="20">
        <f t="shared" si="0"/>
        <v>200</v>
      </c>
      <c r="G33" s="41"/>
      <c r="H33" s="41"/>
    </row>
    <row r="34" spans="1:13" ht="12.75" customHeight="1">
      <c r="A34" s="37" t="s">
        <v>101</v>
      </c>
      <c r="B34" s="42" t="s">
        <v>45</v>
      </c>
      <c r="C34" s="18" t="s">
        <v>431</v>
      </c>
      <c r="D34" s="42" t="s">
        <v>71</v>
      </c>
      <c r="E34" s="41">
        <v>600</v>
      </c>
      <c r="F34" s="20">
        <f t="shared" si="0"/>
        <v>600</v>
      </c>
      <c r="G34" s="41">
        <v>300</v>
      </c>
      <c r="H34" s="41"/>
    </row>
    <row r="35" spans="1:13" ht="12.75" customHeight="1">
      <c r="A35" s="37" t="s">
        <v>102</v>
      </c>
      <c r="B35" s="42" t="s">
        <v>46</v>
      </c>
      <c r="C35" s="18" t="s">
        <v>426</v>
      </c>
      <c r="D35" s="42" t="s">
        <v>71</v>
      </c>
      <c r="E35" s="41">
        <f>4000+100</f>
        <v>4100</v>
      </c>
      <c r="F35" s="20">
        <f t="shared" si="0"/>
        <v>4100</v>
      </c>
      <c r="G35" s="41"/>
      <c r="H35" s="41"/>
    </row>
    <row r="36" spans="1:13" ht="26.25" customHeight="1">
      <c r="A36" s="37" t="s">
        <v>103</v>
      </c>
      <c r="B36" s="42" t="s">
        <v>47</v>
      </c>
      <c r="C36" s="18" t="s">
        <v>66</v>
      </c>
      <c r="D36" s="42" t="s">
        <v>71</v>
      </c>
      <c r="E36" s="41">
        <f>5200+200</f>
        <v>5400</v>
      </c>
      <c r="F36" s="41">
        <f t="shared" si="0"/>
        <v>5400</v>
      </c>
      <c r="G36" s="41"/>
      <c r="H36" s="41"/>
    </row>
    <row r="37" spans="1:13" ht="12.75" customHeight="1">
      <c r="A37" s="37" t="s">
        <v>104</v>
      </c>
      <c r="B37" s="12" t="s">
        <v>48</v>
      </c>
      <c r="C37" s="214" t="s">
        <v>355</v>
      </c>
      <c r="D37" s="105" t="s">
        <v>71</v>
      </c>
      <c r="E37" s="41">
        <f>1000+100</f>
        <v>1100</v>
      </c>
      <c r="F37" s="41">
        <f t="shared" si="0"/>
        <v>1100</v>
      </c>
      <c r="G37" s="41">
        <f>300+100</f>
        <v>400</v>
      </c>
      <c r="H37" s="41"/>
    </row>
    <row r="38" spans="1:13" ht="12.75" customHeight="1">
      <c r="A38" s="37" t="s">
        <v>105</v>
      </c>
      <c r="B38" s="12" t="s">
        <v>52</v>
      </c>
      <c r="C38" s="9" t="s">
        <v>119</v>
      </c>
      <c r="D38" s="105" t="s">
        <v>71</v>
      </c>
      <c r="E38" s="41">
        <v>1000</v>
      </c>
      <c r="F38" s="41">
        <f t="shared" si="0"/>
        <v>1000</v>
      </c>
      <c r="G38" s="41"/>
      <c r="H38" s="41"/>
    </row>
    <row r="39" spans="1:13" ht="12.75" customHeight="1">
      <c r="A39" s="37" t="s">
        <v>106</v>
      </c>
      <c r="B39" s="12" t="s">
        <v>432</v>
      </c>
      <c r="C39" s="118" t="s">
        <v>111</v>
      </c>
      <c r="D39" s="42"/>
      <c r="E39" s="41">
        <f>SUM(E40)</f>
        <v>29500</v>
      </c>
      <c r="F39" s="20">
        <f t="shared" si="0"/>
        <v>29500</v>
      </c>
      <c r="G39" s="41"/>
      <c r="H39" s="81"/>
    </row>
    <row r="40" spans="1:13" ht="12.75" customHeight="1">
      <c r="A40" s="37" t="s">
        <v>107</v>
      </c>
      <c r="B40" s="12"/>
      <c r="C40" s="128" t="s">
        <v>264</v>
      </c>
      <c r="D40" s="114" t="s">
        <v>71</v>
      </c>
      <c r="E40" s="97">
        <f>19800+9700</f>
        <v>29500</v>
      </c>
      <c r="F40" s="97">
        <v>19800</v>
      </c>
      <c r="G40" s="97"/>
      <c r="H40" s="212"/>
    </row>
    <row r="41" spans="1:13" ht="38.25">
      <c r="A41" s="39" t="s">
        <v>108</v>
      </c>
      <c r="B41" s="31" t="s">
        <v>9</v>
      </c>
      <c r="C41" s="8" t="s">
        <v>16</v>
      </c>
      <c r="D41" s="44"/>
      <c r="E41" s="82">
        <f>SUM(E42:E48)</f>
        <v>194100</v>
      </c>
      <c r="F41" s="82">
        <f>SUM(F42:F48)</f>
        <v>194100</v>
      </c>
      <c r="G41" s="82">
        <f>SUM(G42:G48)</f>
        <v>130300</v>
      </c>
      <c r="H41" s="82">
        <f>SUM(H42:H48)</f>
        <v>0</v>
      </c>
      <c r="M41" s="210"/>
    </row>
    <row r="42" spans="1:13">
      <c r="A42" s="37" t="s">
        <v>109</v>
      </c>
      <c r="B42" s="40" t="s">
        <v>23</v>
      </c>
      <c r="C42" s="118" t="s">
        <v>368</v>
      </c>
      <c r="D42" s="39">
        <v>10</v>
      </c>
      <c r="E42" s="52">
        <f>11000+4800</f>
        <v>15800</v>
      </c>
      <c r="F42" s="20">
        <f t="shared" ref="F42:F47" si="1">E42-H42</f>
        <v>15800</v>
      </c>
      <c r="G42" s="52">
        <v>7300</v>
      </c>
      <c r="H42" s="52"/>
    </row>
    <row r="43" spans="1:13">
      <c r="A43" s="37" t="s">
        <v>110</v>
      </c>
      <c r="B43" s="50" t="s">
        <v>24</v>
      </c>
      <c r="C43" s="9" t="s">
        <v>82</v>
      </c>
      <c r="D43" s="38" t="s">
        <v>72</v>
      </c>
      <c r="E43" s="23">
        <f>115000+11900</f>
        <v>126900</v>
      </c>
      <c r="F43" s="20">
        <f t="shared" si="1"/>
        <v>126900</v>
      </c>
      <c r="G43" s="24">
        <v>110000</v>
      </c>
      <c r="H43" s="52"/>
    </row>
    <row r="44" spans="1:13">
      <c r="A44" s="37" t="s">
        <v>180</v>
      </c>
      <c r="B44" s="203" t="s">
        <v>25</v>
      </c>
      <c r="C44" s="9" t="s">
        <v>119</v>
      </c>
      <c r="D44" s="38" t="s">
        <v>72</v>
      </c>
      <c r="E44" s="23">
        <f>4400+800</f>
        <v>5200</v>
      </c>
      <c r="F44" s="20">
        <f t="shared" si="1"/>
        <v>5200</v>
      </c>
      <c r="G44" s="23">
        <v>4300</v>
      </c>
      <c r="H44" s="21"/>
    </row>
    <row r="45" spans="1:13">
      <c r="A45" s="37" t="s">
        <v>181</v>
      </c>
      <c r="B45" s="203" t="s">
        <v>132</v>
      </c>
      <c r="C45" s="118" t="s">
        <v>368</v>
      </c>
      <c r="D45" s="38" t="s">
        <v>72</v>
      </c>
      <c r="E45" s="23">
        <v>4400</v>
      </c>
      <c r="F45" s="20">
        <f t="shared" si="1"/>
        <v>4400</v>
      </c>
      <c r="G45" s="23">
        <v>4400</v>
      </c>
      <c r="H45" s="21"/>
    </row>
    <row r="46" spans="1:13">
      <c r="A46" s="37" t="s">
        <v>182</v>
      </c>
      <c r="B46" s="203" t="s">
        <v>418</v>
      </c>
      <c r="C46" s="9" t="s">
        <v>82</v>
      </c>
      <c r="D46" s="38" t="s">
        <v>72</v>
      </c>
      <c r="E46" s="23">
        <v>4300</v>
      </c>
      <c r="F46" s="20">
        <f t="shared" si="1"/>
        <v>4300</v>
      </c>
      <c r="G46" s="23">
        <v>4300</v>
      </c>
      <c r="H46" s="21"/>
    </row>
    <row r="47" spans="1:13" ht="12.75" customHeight="1">
      <c r="A47" s="37" t="s">
        <v>183</v>
      </c>
      <c r="B47" s="203" t="s">
        <v>427</v>
      </c>
      <c r="C47" s="9" t="s">
        <v>231</v>
      </c>
      <c r="D47" s="38" t="s">
        <v>72</v>
      </c>
      <c r="E47" s="23">
        <f>13300+1200</f>
        <v>14500</v>
      </c>
      <c r="F47" s="20">
        <f t="shared" si="1"/>
        <v>14500</v>
      </c>
      <c r="G47" s="23"/>
      <c r="H47" s="21"/>
    </row>
    <row r="48" spans="1:13">
      <c r="A48" s="37" t="s">
        <v>184</v>
      </c>
      <c r="B48" s="220" t="s">
        <v>428</v>
      </c>
      <c r="C48" s="9" t="s">
        <v>111</v>
      </c>
      <c r="D48" s="38"/>
      <c r="E48" s="23">
        <f>SUM(E50)</f>
        <v>23000</v>
      </c>
      <c r="F48" s="23">
        <f>SUM(F50)</f>
        <v>23000</v>
      </c>
      <c r="G48" s="23">
        <f>SUM(G50)</f>
        <v>0</v>
      </c>
      <c r="H48" s="23">
        <f>SUM(H50)</f>
        <v>0</v>
      </c>
    </row>
    <row r="49" spans="1:8">
      <c r="A49" s="37" t="s">
        <v>185</v>
      </c>
      <c r="B49" s="222"/>
      <c r="C49" s="55" t="s">
        <v>262</v>
      </c>
      <c r="D49" s="53" t="s">
        <v>72</v>
      </c>
      <c r="E49" s="54">
        <f>378600-23000</f>
        <v>355600</v>
      </c>
      <c r="F49" s="93">
        <f>E49-H49</f>
        <v>355600</v>
      </c>
      <c r="G49" s="23"/>
      <c r="H49" s="23"/>
    </row>
    <row r="50" spans="1:8">
      <c r="A50" s="37" t="s">
        <v>186</v>
      </c>
      <c r="B50" s="221"/>
      <c r="C50" s="55" t="s">
        <v>288</v>
      </c>
      <c r="D50" s="53" t="s">
        <v>72</v>
      </c>
      <c r="E50" s="54">
        <v>23000</v>
      </c>
      <c r="F50" s="93">
        <f>E50-H50</f>
        <v>23000</v>
      </c>
      <c r="G50" s="54"/>
      <c r="H50" s="61"/>
    </row>
    <row r="51" spans="1:8" ht="38.25">
      <c r="A51" s="37" t="s">
        <v>187</v>
      </c>
      <c r="B51" s="62" t="s">
        <v>54</v>
      </c>
      <c r="C51" s="22" t="s">
        <v>417</v>
      </c>
      <c r="D51" s="53"/>
      <c r="E51" s="82">
        <f>SUM(E52:E56)</f>
        <v>2200</v>
      </c>
      <c r="F51" s="82">
        <f>SUM(F52:F56)</f>
        <v>2200</v>
      </c>
      <c r="G51" s="82">
        <f>SUM(G52:G56)</f>
        <v>0</v>
      </c>
      <c r="H51" s="82">
        <f>SUM(H52:H56)</f>
        <v>0</v>
      </c>
    </row>
    <row r="52" spans="1:8">
      <c r="A52" s="37" t="s">
        <v>188</v>
      </c>
      <c r="B52" s="36" t="s">
        <v>58</v>
      </c>
      <c r="C52" s="9" t="s">
        <v>55</v>
      </c>
      <c r="D52" s="45" t="s">
        <v>75</v>
      </c>
      <c r="E52" s="23">
        <v>100</v>
      </c>
      <c r="F52" s="205">
        <f>E52-H52</f>
        <v>100</v>
      </c>
      <c r="G52" s="23"/>
      <c r="H52" s="21"/>
    </row>
    <row r="53" spans="1:8" ht="25.5">
      <c r="A53" s="37" t="s">
        <v>189</v>
      </c>
      <c r="B53" s="36" t="s">
        <v>59</v>
      </c>
      <c r="C53" s="9" t="s">
        <v>238</v>
      </c>
      <c r="D53" s="38" t="s">
        <v>75</v>
      </c>
      <c r="E53" s="28">
        <v>400</v>
      </c>
      <c r="F53" s="208">
        <f>E53-H53</f>
        <v>400</v>
      </c>
      <c r="G53" s="28"/>
      <c r="H53" s="25"/>
    </row>
    <row r="54" spans="1:8">
      <c r="A54" s="37" t="s">
        <v>190</v>
      </c>
      <c r="B54" s="36" t="s">
        <v>60</v>
      </c>
      <c r="C54" s="60" t="s">
        <v>74</v>
      </c>
      <c r="D54" s="38" t="s">
        <v>75</v>
      </c>
      <c r="E54" s="23">
        <v>1500</v>
      </c>
      <c r="F54" s="205">
        <f>E54-H54</f>
        <v>1500</v>
      </c>
      <c r="G54" s="23"/>
      <c r="H54" s="21"/>
    </row>
    <row r="55" spans="1:8" ht="12.75" customHeight="1">
      <c r="A55" s="37" t="s">
        <v>191</v>
      </c>
      <c r="B55" s="36" t="s">
        <v>61</v>
      </c>
      <c r="C55" s="9" t="s">
        <v>133</v>
      </c>
      <c r="D55" s="38" t="s">
        <v>75</v>
      </c>
      <c r="E55" s="28">
        <v>100</v>
      </c>
      <c r="F55" s="208">
        <f>E55-H55</f>
        <v>100</v>
      </c>
      <c r="G55" s="28"/>
      <c r="H55" s="25"/>
    </row>
    <row r="56" spans="1:8">
      <c r="A56" s="37" t="s">
        <v>192</v>
      </c>
      <c r="B56" s="36" t="s">
        <v>62</v>
      </c>
      <c r="C56" s="9" t="s">
        <v>232</v>
      </c>
      <c r="D56" s="38" t="s">
        <v>75</v>
      </c>
      <c r="E56" s="23">
        <v>100</v>
      </c>
      <c r="F56" s="205">
        <f>E56-H56</f>
        <v>100</v>
      </c>
      <c r="G56" s="23"/>
      <c r="H56" s="21"/>
    </row>
    <row r="57" spans="1:8" ht="38.25">
      <c r="A57" s="37" t="s">
        <v>193</v>
      </c>
      <c r="B57" s="204" t="s">
        <v>19</v>
      </c>
      <c r="C57" s="22" t="s">
        <v>20</v>
      </c>
      <c r="D57" s="40"/>
      <c r="E57" s="82">
        <f>SUM(E58+E61)</f>
        <v>47200</v>
      </c>
      <c r="F57" s="82">
        <f>SUM(F58+F61)</f>
        <v>47200</v>
      </c>
      <c r="G57" s="82">
        <f>SUM(G58+G61)</f>
        <v>16800</v>
      </c>
      <c r="H57" s="82">
        <f>SUM(H58+H61)</f>
        <v>0</v>
      </c>
    </row>
    <row r="58" spans="1:8">
      <c r="A58" s="37" t="s">
        <v>194</v>
      </c>
      <c r="B58" s="203" t="s">
        <v>26</v>
      </c>
      <c r="C58" s="9" t="s">
        <v>111</v>
      </c>
      <c r="D58" s="38"/>
      <c r="E58" s="28">
        <f>SUM(E59:E60)</f>
        <v>47000</v>
      </c>
      <c r="F58" s="28">
        <f>SUM(F59:F60)</f>
        <v>47000</v>
      </c>
      <c r="G58" s="28">
        <f>SUM(G59:G60)</f>
        <v>16800</v>
      </c>
      <c r="H58" s="28">
        <f>SUM(H59:H60)</f>
        <v>0</v>
      </c>
    </row>
    <row r="59" spans="1:8" ht="25.5">
      <c r="A59" s="37" t="s">
        <v>195</v>
      </c>
      <c r="B59" s="209"/>
      <c r="C59" s="55" t="s">
        <v>413</v>
      </c>
      <c r="D59" s="53" t="s">
        <v>71</v>
      </c>
      <c r="E59" s="58">
        <v>17100</v>
      </c>
      <c r="F59" s="41">
        <f>E59-H59</f>
        <v>17100</v>
      </c>
      <c r="G59" s="58">
        <v>16800</v>
      </c>
      <c r="H59" s="84"/>
    </row>
    <row r="60" spans="1:8">
      <c r="A60" s="37" t="s">
        <v>196</v>
      </c>
      <c r="B60" s="209"/>
      <c r="C60" s="55" t="s">
        <v>118</v>
      </c>
      <c r="D60" s="53" t="s">
        <v>19</v>
      </c>
      <c r="E60" s="58">
        <v>29900</v>
      </c>
      <c r="F60" s="41">
        <f>E60-H60</f>
        <v>29900</v>
      </c>
      <c r="G60" s="58"/>
      <c r="H60" s="84"/>
    </row>
    <row r="61" spans="1:8">
      <c r="A61" s="37" t="s">
        <v>197</v>
      </c>
      <c r="B61" s="203" t="s">
        <v>27</v>
      </c>
      <c r="C61" s="9" t="s">
        <v>237</v>
      </c>
      <c r="D61" s="38" t="s">
        <v>19</v>
      </c>
      <c r="E61" s="28">
        <v>200</v>
      </c>
      <c r="F61" s="41">
        <f>E61-H61</f>
        <v>200</v>
      </c>
      <c r="G61" s="28"/>
      <c r="H61" s="25"/>
    </row>
    <row r="62" spans="1:8" ht="25.5">
      <c r="A62" s="37" t="s">
        <v>198</v>
      </c>
      <c r="B62" s="62" t="s">
        <v>76</v>
      </c>
      <c r="C62" s="22" t="s">
        <v>235</v>
      </c>
      <c r="D62" s="83"/>
      <c r="E62" s="82">
        <f>SUM(E63)</f>
        <v>2164800</v>
      </c>
      <c r="F62" s="82">
        <f t="shared" ref="F62:H63" si="2">SUM(F63)</f>
        <v>756700</v>
      </c>
      <c r="G62" s="82">
        <f t="shared" si="2"/>
        <v>0</v>
      </c>
      <c r="H62" s="82">
        <f t="shared" si="2"/>
        <v>1408100</v>
      </c>
    </row>
    <row r="63" spans="1:8">
      <c r="A63" s="37" t="s">
        <v>199</v>
      </c>
      <c r="B63" s="203" t="s">
        <v>81</v>
      </c>
      <c r="C63" s="118" t="s">
        <v>111</v>
      </c>
      <c r="D63" s="83"/>
      <c r="E63" s="28">
        <f>SUM(E64)</f>
        <v>2164800</v>
      </c>
      <c r="F63" s="28">
        <f t="shared" si="2"/>
        <v>756700</v>
      </c>
      <c r="G63" s="28">
        <f t="shared" si="2"/>
        <v>0</v>
      </c>
      <c r="H63" s="28">
        <f t="shared" si="2"/>
        <v>1408100</v>
      </c>
    </row>
    <row r="64" spans="1:8" ht="25.5">
      <c r="A64" s="37" t="s">
        <v>200</v>
      </c>
      <c r="B64" s="209"/>
      <c r="C64" s="55" t="s">
        <v>416</v>
      </c>
      <c r="D64" s="83" t="s">
        <v>76</v>
      </c>
      <c r="E64" s="58">
        <f>1439800+1401000-1045000+369000</f>
        <v>2164800</v>
      </c>
      <c r="F64" s="41">
        <f>E64-H64</f>
        <v>756700</v>
      </c>
      <c r="G64" s="58"/>
      <c r="H64" s="84">
        <f>836000+813300-441200+200000</f>
        <v>1408100</v>
      </c>
    </row>
    <row r="65" spans="1:8">
      <c r="A65" s="37" t="s">
        <v>201</v>
      </c>
      <c r="B65" s="204" t="s">
        <v>77</v>
      </c>
      <c r="C65" s="49" t="s">
        <v>79</v>
      </c>
      <c r="D65" s="36"/>
      <c r="E65" s="27">
        <f>SUM(E66)</f>
        <v>4406800</v>
      </c>
      <c r="F65" s="27">
        <f>SUM(F66)</f>
        <v>2800</v>
      </c>
      <c r="G65" s="27">
        <f>SUM(G66)</f>
        <v>100</v>
      </c>
      <c r="H65" s="27">
        <f>SUM(H66)</f>
        <v>4404000</v>
      </c>
    </row>
    <row r="66" spans="1:8">
      <c r="A66" s="37" t="s">
        <v>202</v>
      </c>
      <c r="B66" s="203" t="s">
        <v>80</v>
      </c>
      <c r="C66" s="118" t="s">
        <v>78</v>
      </c>
      <c r="D66" s="36" t="s">
        <v>77</v>
      </c>
      <c r="E66" s="23">
        <f>164000+1439800+116900+200+2174000-1439800+1869800+5300+47600+29000</f>
        <v>4406800</v>
      </c>
      <c r="F66" s="205">
        <f>E66-H66</f>
        <v>2800</v>
      </c>
      <c r="G66" s="23">
        <v>100</v>
      </c>
      <c r="H66" s="21">
        <f>164000+836000+115900+2174000-836000+1868800+5300+47100+28900</f>
        <v>4404000</v>
      </c>
    </row>
    <row r="67" spans="1:8">
      <c r="A67" s="7" t="s">
        <v>203</v>
      </c>
      <c r="B67" s="13"/>
      <c r="C67" s="14" t="s">
        <v>134</v>
      </c>
      <c r="D67" s="15"/>
      <c r="E67" s="27">
        <f>E65+E62+E57+E51+E41+E17</f>
        <v>7188200</v>
      </c>
      <c r="F67" s="27">
        <f>F65+F62+F57+F51+F41+F17</f>
        <v>1350100</v>
      </c>
      <c r="G67" s="27">
        <f>G65+G62+G57+G51+G41+G17</f>
        <v>303900</v>
      </c>
      <c r="H67" s="27">
        <f>H65+H62+H57+H51+H41+H17</f>
        <v>5838100</v>
      </c>
    </row>
    <row r="68" spans="1:8">
      <c r="A68" s="241"/>
      <c r="B68" s="242"/>
      <c r="C68" s="242"/>
      <c r="D68" s="242"/>
      <c r="E68" s="242"/>
      <c r="F68" s="242"/>
      <c r="G68" s="242"/>
      <c r="H68" s="242"/>
    </row>
    <row r="69" spans="1:8">
      <c r="A69" s="113"/>
      <c r="D69" s="119"/>
      <c r="E69" s="119"/>
    </row>
    <row r="71" spans="1:8">
      <c r="E71" s="100"/>
    </row>
  </sheetData>
  <mergeCells count="19">
    <mergeCell ref="F1:H1"/>
    <mergeCell ref="F3:H3"/>
    <mergeCell ref="E12:H12"/>
    <mergeCell ref="E13:E15"/>
    <mergeCell ref="F13:H13"/>
    <mergeCell ref="F14:G14"/>
    <mergeCell ref="H14:H15"/>
    <mergeCell ref="F2:H2"/>
    <mergeCell ref="F5:H5"/>
    <mergeCell ref="F6:H6"/>
    <mergeCell ref="F7:H7"/>
    <mergeCell ref="A68:H68"/>
    <mergeCell ref="A12:A15"/>
    <mergeCell ref="B12:B15"/>
    <mergeCell ref="C12:C15"/>
    <mergeCell ref="D12:D15"/>
    <mergeCell ref="A9:H9"/>
    <mergeCell ref="A10:H10"/>
    <mergeCell ref="B48:B50"/>
  </mergeCells>
  <phoneticPr fontId="5" type="noConversion"/>
  <pageMargins left="0.59055118110236227" right="0.19685039370078741" top="0.39370078740157483" bottom="0.39370078740157483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3"/>
  <sheetViews>
    <sheetView zoomScale="135" zoomScaleNormal="135" workbookViewId="0">
      <selection activeCell="F7" sqref="F7:H7"/>
    </sheetView>
  </sheetViews>
  <sheetFormatPr defaultRowHeight="12.75"/>
  <cols>
    <col min="1" max="1" width="4.85546875" customWidth="1"/>
    <col min="2" max="2" width="9.7109375" customWidth="1"/>
    <col min="3" max="3" width="35.5703125" customWidth="1"/>
    <col min="4" max="4" width="8.5703125" customWidth="1"/>
    <col min="5" max="5" width="8.140625" customWidth="1"/>
    <col min="6" max="6" width="9.7109375" customWidth="1"/>
    <col min="7" max="7" width="10.28515625" customWidth="1"/>
    <col min="8" max="8" width="10.140625" customWidth="1"/>
  </cols>
  <sheetData>
    <row r="1" spans="1:12" ht="12.75" customHeight="1">
      <c r="A1" s="3"/>
      <c r="B1" s="3"/>
      <c r="C1" s="3"/>
      <c r="D1" s="34"/>
      <c r="E1" s="35"/>
      <c r="F1" s="226" t="s">
        <v>7</v>
      </c>
      <c r="G1" s="226"/>
      <c r="H1" s="226"/>
      <c r="I1" s="35"/>
    </row>
    <row r="2" spans="1:12" ht="14.1" customHeight="1">
      <c r="A2" s="3"/>
      <c r="B2" s="3"/>
      <c r="C2" s="3"/>
      <c r="D2" s="34"/>
      <c r="E2" s="35"/>
      <c r="F2" s="226" t="s">
        <v>382</v>
      </c>
      <c r="G2" s="226"/>
      <c r="H2" s="226"/>
      <c r="I2" s="35"/>
    </row>
    <row r="3" spans="1:12" ht="12.75" customHeight="1">
      <c r="A3" s="1"/>
      <c r="B3" s="2"/>
      <c r="C3" s="3"/>
      <c r="D3" s="35"/>
      <c r="E3" s="35"/>
      <c r="F3" s="226" t="s">
        <v>405</v>
      </c>
      <c r="G3" s="226"/>
      <c r="H3" s="226"/>
    </row>
    <row r="4" spans="1:12" ht="12.75" customHeight="1">
      <c r="A4" s="1"/>
      <c r="B4" s="2"/>
      <c r="C4" s="3"/>
      <c r="D4" s="35"/>
      <c r="E4" s="35"/>
      <c r="F4" s="227" t="s">
        <v>340</v>
      </c>
      <c r="G4" s="227"/>
      <c r="H4" s="227"/>
    </row>
    <row r="5" spans="1:12" ht="12.75" customHeight="1">
      <c r="A5" s="1"/>
      <c r="B5" s="2"/>
      <c r="C5" s="3"/>
      <c r="D5" s="35"/>
      <c r="E5" s="35"/>
      <c r="F5" s="227" t="s">
        <v>407</v>
      </c>
      <c r="G5" s="227"/>
      <c r="H5" s="227"/>
    </row>
    <row r="6" spans="1:12" ht="12.75" customHeight="1">
      <c r="A6" s="1"/>
      <c r="B6" s="2"/>
      <c r="C6" s="3"/>
      <c r="D6" s="35"/>
      <c r="E6" s="35"/>
      <c r="F6" s="227" t="s">
        <v>433</v>
      </c>
      <c r="G6" s="227"/>
      <c r="H6" s="227"/>
    </row>
    <row r="7" spans="1:12" ht="12.75" customHeight="1">
      <c r="A7" s="1"/>
      <c r="B7" s="2"/>
      <c r="C7" s="3"/>
      <c r="D7" s="35"/>
      <c r="E7" s="35"/>
      <c r="F7" s="227" t="s">
        <v>435</v>
      </c>
      <c r="G7" s="227"/>
      <c r="H7" s="227"/>
    </row>
    <row r="8" spans="1:12" ht="12.75" customHeight="1">
      <c r="A8" s="1"/>
      <c r="B8" s="2"/>
      <c r="C8" s="16"/>
      <c r="D8" s="16"/>
      <c r="E8" s="16"/>
      <c r="F8" s="16"/>
      <c r="G8" s="16"/>
      <c r="H8" s="16"/>
      <c r="I8" s="16"/>
    </row>
    <row r="9" spans="1:12" ht="12.75" customHeight="1">
      <c r="A9" s="219" t="s">
        <v>387</v>
      </c>
      <c r="B9" s="219"/>
      <c r="C9" s="219"/>
      <c r="D9" s="219"/>
      <c r="E9" s="219"/>
      <c r="F9" s="219"/>
      <c r="G9" s="219"/>
      <c r="H9" s="219"/>
    </row>
    <row r="10" spans="1:12">
      <c r="A10" s="168"/>
      <c r="B10" s="168"/>
      <c r="C10" s="168"/>
      <c r="D10" s="168"/>
      <c r="E10" s="168"/>
      <c r="F10" s="168"/>
      <c r="G10" s="169"/>
      <c r="H10" s="197" t="s">
        <v>260</v>
      </c>
    </row>
    <row r="11" spans="1:12" ht="12.75" customHeight="1">
      <c r="A11" s="249" t="s">
        <v>83</v>
      </c>
      <c r="B11" s="249" t="s">
        <v>1</v>
      </c>
      <c r="C11" s="254" t="s">
        <v>50</v>
      </c>
      <c r="D11" s="249" t="s">
        <v>2</v>
      </c>
      <c r="E11" s="265" t="s">
        <v>127</v>
      </c>
      <c r="F11" s="266"/>
      <c r="G11" s="266"/>
      <c r="H11" s="267"/>
    </row>
    <row r="12" spans="1:12" ht="12.75" customHeight="1">
      <c r="A12" s="250"/>
      <c r="B12" s="250"/>
      <c r="C12" s="255"/>
      <c r="D12" s="250"/>
      <c r="E12" s="262" t="s">
        <v>3</v>
      </c>
      <c r="F12" s="265" t="s">
        <v>4</v>
      </c>
      <c r="G12" s="266"/>
      <c r="H12" s="267"/>
    </row>
    <row r="13" spans="1:12" ht="12.75" customHeight="1">
      <c r="A13" s="250"/>
      <c r="B13" s="250"/>
      <c r="C13" s="255"/>
      <c r="D13" s="250"/>
      <c r="E13" s="263"/>
      <c r="F13" s="265" t="s">
        <v>125</v>
      </c>
      <c r="G13" s="267"/>
      <c r="H13" s="263" t="s">
        <v>51</v>
      </c>
    </row>
    <row r="14" spans="1:12" ht="28.5" customHeight="1">
      <c r="A14" s="251"/>
      <c r="B14" s="251"/>
      <c r="C14" s="256"/>
      <c r="D14" s="251"/>
      <c r="E14" s="264"/>
      <c r="F14" s="172" t="s">
        <v>126</v>
      </c>
      <c r="G14" s="171" t="s">
        <v>8</v>
      </c>
      <c r="H14" s="251"/>
    </row>
    <row r="15" spans="1:12">
      <c r="A15" s="173">
        <v>1</v>
      </c>
      <c r="B15" s="173">
        <v>2</v>
      </c>
      <c r="C15" s="173">
        <v>3</v>
      </c>
      <c r="D15" s="171">
        <v>4</v>
      </c>
      <c r="E15" s="171">
        <v>5</v>
      </c>
      <c r="F15" s="173">
        <v>6</v>
      </c>
      <c r="G15" s="173">
        <v>7</v>
      </c>
      <c r="H15" s="173">
        <v>8</v>
      </c>
    </row>
    <row r="16" spans="1:12" ht="25.5">
      <c r="A16" s="171"/>
      <c r="B16" s="86" t="s">
        <v>10</v>
      </c>
      <c r="C16" s="174" t="s">
        <v>11</v>
      </c>
      <c r="D16" s="175"/>
      <c r="E16" s="175">
        <f>SUM(E17:E38)</f>
        <v>6985000</v>
      </c>
      <c r="F16" s="175">
        <f>SUM(F17:F38)</f>
        <v>6982200</v>
      </c>
      <c r="G16" s="175">
        <f>SUM(G17:G38)</f>
        <v>6623600</v>
      </c>
      <c r="H16" s="175">
        <f>SUM(H17:H38)</f>
        <v>2800</v>
      </c>
      <c r="L16" s="47"/>
    </row>
    <row r="17" spans="1:8">
      <c r="A17" s="176" t="s">
        <v>84</v>
      </c>
      <c r="B17" s="12" t="s">
        <v>29</v>
      </c>
      <c r="C17" s="177" t="s">
        <v>341</v>
      </c>
      <c r="D17" s="12" t="s">
        <v>71</v>
      </c>
      <c r="E17" s="178">
        <f>762800+1200+20400+4100</f>
        <v>788500</v>
      </c>
      <c r="F17" s="178">
        <f>E17-H17</f>
        <v>788500</v>
      </c>
      <c r="G17" s="178">
        <f>734100-6300+20000</f>
        <v>747800</v>
      </c>
      <c r="H17" s="178"/>
    </row>
    <row r="18" spans="1:8">
      <c r="A18" s="179" t="s">
        <v>85</v>
      </c>
      <c r="B18" s="12" t="s">
        <v>30</v>
      </c>
      <c r="C18" s="180" t="s">
        <v>243</v>
      </c>
      <c r="D18" s="12" t="s">
        <v>71</v>
      </c>
      <c r="E18" s="181">
        <f>476300+100+15900+1700</f>
        <v>494000</v>
      </c>
      <c r="F18" s="178">
        <f>E18-H18</f>
        <v>494000</v>
      </c>
      <c r="G18" s="181">
        <f>459200+100+15800</f>
        <v>475100</v>
      </c>
      <c r="H18" s="181"/>
    </row>
    <row r="19" spans="1:8">
      <c r="A19" s="67" t="s">
        <v>86</v>
      </c>
      <c r="B19" s="12" t="s">
        <v>31</v>
      </c>
      <c r="C19" s="67" t="s">
        <v>256</v>
      </c>
      <c r="D19" s="12" t="s">
        <v>71</v>
      </c>
      <c r="E19" s="182">
        <f>500500+100+14700+1700</f>
        <v>517000</v>
      </c>
      <c r="F19" s="178">
        <f t="shared" ref="F19:F26" si="0">E19-H19</f>
        <v>516800</v>
      </c>
      <c r="G19" s="182">
        <f>484200+100+14800</f>
        <v>499100</v>
      </c>
      <c r="H19" s="182">
        <v>200</v>
      </c>
    </row>
    <row r="20" spans="1:8">
      <c r="A20" s="68" t="s">
        <v>87</v>
      </c>
      <c r="B20" s="12" t="s">
        <v>32</v>
      </c>
      <c r="C20" s="67" t="s">
        <v>342</v>
      </c>
      <c r="D20" s="12" t="s">
        <v>71</v>
      </c>
      <c r="E20" s="182">
        <f>621800+200+35400+3000</f>
        <v>660400</v>
      </c>
      <c r="F20" s="178">
        <f t="shared" si="0"/>
        <v>657800</v>
      </c>
      <c r="G20" s="182">
        <f>595400+200+34600</f>
        <v>630200</v>
      </c>
      <c r="H20" s="182">
        <f>2500+100</f>
        <v>2600</v>
      </c>
    </row>
    <row r="21" spans="1:8">
      <c r="A21" s="67" t="s">
        <v>88</v>
      </c>
      <c r="B21" s="12" t="s">
        <v>33</v>
      </c>
      <c r="C21" s="68" t="s">
        <v>343</v>
      </c>
      <c r="D21" s="12" t="s">
        <v>71</v>
      </c>
      <c r="E21" s="182">
        <f>1031200+55300+500+13900+6400</f>
        <v>1107300</v>
      </c>
      <c r="F21" s="178">
        <f t="shared" si="0"/>
        <v>1107300</v>
      </c>
      <c r="G21" s="182">
        <f>990500-9600+53300+500+14500</f>
        <v>1049200</v>
      </c>
      <c r="H21" s="182"/>
    </row>
    <row r="22" spans="1:8" ht="12.75" customHeight="1">
      <c r="A22" s="68" t="s">
        <v>89</v>
      </c>
      <c r="B22" s="12" t="s">
        <v>34</v>
      </c>
      <c r="C22" s="68" t="s">
        <v>344</v>
      </c>
      <c r="D22" s="12" t="s">
        <v>71</v>
      </c>
      <c r="E22" s="182">
        <f>853300+1100+7300+3000</f>
        <v>864700</v>
      </c>
      <c r="F22" s="178">
        <f t="shared" si="0"/>
        <v>864700</v>
      </c>
      <c r="G22" s="182">
        <f>825600+1100-9000+7200</f>
        <v>824900</v>
      </c>
      <c r="H22" s="182"/>
    </row>
    <row r="23" spans="1:8">
      <c r="A23" s="183" t="s">
        <v>90</v>
      </c>
      <c r="B23" s="12" t="s">
        <v>35</v>
      </c>
      <c r="C23" s="183" t="s">
        <v>253</v>
      </c>
      <c r="D23" s="12" t="s">
        <v>71</v>
      </c>
      <c r="E23" s="184">
        <f>369900+200+10900+1200</f>
        <v>382200</v>
      </c>
      <c r="F23" s="178">
        <f t="shared" si="0"/>
        <v>382200</v>
      </c>
      <c r="G23" s="184">
        <f>358300+200+10800</f>
        <v>369300</v>
      </c>
      <c r="H23" s="184"/>
    </row>
    <row r="24" spans="1:8" ht="12.75" customHeight="1">
      <c r="A24" s="183" t="s">
        <v>91</v>
      </c>
      <c r="B24" s="12" t="s">
        <v>36</v>
      </c>
      <c r="C24" s="183" t="s">
        <v>13</v>
      </c>
      <c r="D24" s="12" t="s">
        <v>71</v>
      </c>
      <c r="E24" s="184">
        <f>351900+200+19700+1300</f>
        <v>373100</v>
      </c>
      <c r="F24" s="182">
        <f t="shared" si="0"/>
        <v>373100</v>
      </c>
      <c r="G24" s="184">
        <f>339400+200+19400</f>
        <v>359000</v>
      </c>
      <c r="H24" s="184"/>
    </row>
    <row r="25" spans="1:8" ht="12.75" customHeight="1">
      <c r="A25" s="183" t="s">
        <v>92</v>
      </c>
      <c r="B25" s="12" t="s">
        <v>37</v>
      </c>
      <c r="C25" s="183" t="s">
        <v>345</v>
      </c>
      <c r="D25" s="12" t="s">
        <v>71</v>
      </c>
      <c r="E25" s="184">
        <f>173700+7000-55300</f>
        <v>125400</v>
      </c>
      <c r="F25" s="182">
        <f t="shared" si="0"/>
        <v>125400</v>
      </c>
      <c r="G25" s="184">
        <f>168800+7800-53300</f>
        <v>123300</v>
      </c>
      <c r="H25" s="184"/>
    </row>
    <row r="26" spans="1:8">
      <c r="A26" s="183" t="s">
        <v>93</v>
      </c>
      <c r="B26" s="12" t="s">
        <v>38</v>
      </c>
      <c r="C26" s="183" t="s">
        <v>346</v>
      </c>
      <c r="D26" s="12" t="s">
        <v>71</v>
      </c>
      <c r="E26" s="184">
        <f>314700-12200+700</f>
        <v>303200</v>
      </c>
      <c r="F26" s="182">
        <f t="shared" si="0"/>
        <v>303200</v>
      </c>
      <c r="G26" s="184">
        <f>305900-2800-12100</f>
        <v>291000</v>
      </c>
      <c r="H26" s="184"/>
    </row>
    <row r="27" spans="1:8">
      <c r="A27" s="183" t="s">
        <v>94</v>
      </c>
      <c r="B27" s="105" t="s">
        <v>39</v>
      </c>
      <c r="C27" s="183" t="s">
        <v>347</v>
      </c>
      <c r="D27" s="170" t="s">
        <v>71</v>
      </c>
      <c r="E27" s="184">
        <f>389600+300+15700+1300</f>
        <v>406900</v>
      </c>
      <c r="F27" s="184">
        <f>E27-H27</f>
        <v>406900</v>
      </c>
      <c r="G27" s="184">
        <f>377200+300+15400</f>
        <v>392900</v>
      </c>
      <c r="H27" s="184"/>
    </row>
    <row r="28" spans="1:8">
      <c r="A28" s="183" t="s">
        <v>95</v>
      </c>
      <c r="B28" s="12" t="s">
        <v>40</v>
      </c>
      <c r="C28" s="183" t="s">
        <v>348</v>
      </c>
      <c r="D28" s="104" t="s">
        <v>71</v>
      </c>
      <c r="E28" s="184">
        <f>247600+100-4100+600</f>
        <v>244200</v>
      </c>
      <c r="F28" s="182">
        <f t="shared" ref="F28:F39" si="1">E28-H28</f>
        <v>244200</v>
      </c>
      <c r="G28" s="184">
        <f>241000-200+100-3800</f>
        <v>237100</v>
      </c>
      <c r="H28" s="184"/>
    </row>
    <row r="29" spans="1:8">
      <c r="A29" s="183" t="s">
        <v>96</v>
      </c>
      <c r="B29" s="12" t="s">
        <v>41</v>
      </c>
      <c r="C29" s="185" t="s">
        <v>349</v>
      </c>
      <c r="D29" s="12" t="s">
        <v>71</v>
      </c>
      <c r="E29" s="182">
        <f>168300+4000</f>
        <v>172300</v>
      </c>
      <c r="F29" s="182">
        <f t="shared" si="1"/>
        <v>172300</v>
      </c>
      <c r="G29" s="182">
        <f>160300+4200</f>
        <v>164500</v>
      </c>
      <c r="H29" s="182"/>
    </row>
    <row r="30" spans="1:8">
      <c r="A30" s="67" t="s">
        <v>97</v>
      </c>
      <c r="B30" s="12" t="s">
        <v>42</v>
      </c>
      <c r="C30" s="185" t="s">
        <v>350</v>
      </c>
      <c r="D30" s="12" t="s">
        <v>71</v>
      </c>
      <c r="E30" s="182">
        <f>211500+11700</f>
        <v>223200</v>
      </c>
      <c r="F30" s="182">
        <f t="shared" si="1"/>
        <v>223200</v>
      </c>
      <c r="G30" s="182">
        <f>202300+11800</f>
        <v>214100</v>
      </c>
      <c r="H30" s="182"/>
    </row>
    <row r="31" spans="1:8">
      <c r="A31" s="183" t="s">
        <v>98</v>
      </c>
      <c r="B31" s="12" t="s">
        <v>43</v>
      </c>
      <c r="C31" s="186" t="s">
        <v>351</v>
      </c>
      <c r="D31" s="12" t="s">
        <v>71</v>
      </c>
      <c r="E31" s="187">
        <f>138300+13100</f>
        <v>151400</v>
      </c>
      <c r="F31" s="182">
        <f t="shared" si="1"/>
        <v>151400</v>
      </c>
      <c r="G31" s="187">
        <f>131500+12700</f>
        <v>144200</v>
      </c>
      <c r="H31" s="187"/>
    </row>
    <row r="32" spans="1:8" ht="12.75" customHeight="1">
      <c r="A32" s="183" t="s">
        <v>99</v>
      </c>
      <c r="B32" s="12" t="s">
        <v>44</v>
      </c>
      <c r="C32" s="183" t="s">
        <v>355</v>
      </c>
      <c r="D32" s="12" t="s">
        <v>71</v>
      </c>
      <c r="E32" s="184">
        <f>58000-200</f>
        <v>57800</v>
      </c>
      <c r="F32" s="182">
        <f>E32-H32</f>
        <v>57800</v>
      </c>
      <c r="G32" s="184">
        <f>56900-200</f>
        <v>56700</v>
      </c>
      <c r="H32" s="184"/>
    </row>
    <row r="33" spans="1:8" ht="12.75" customHeight="1">
      <c r="A33" s="183" t="s">
        <v>100</v>
      </c>
      <c r="B33" s="12" t="s">
        <v>45</v>
      </c>
      <c r="C33" s="67" t="s">
        <v>249</v>
      </c>
      <c r="D33" s="12" t="s">
        <v>71</v>
      </c>
      <c r="E33" s="187">
        <v>3600</v>
      </c>
      <c r="F33" s="182">
        <f t="shared" si="1"/>
        <v>3600</v>
      </c>
      <c r="G33" s="187">
        <v>3500</v>
      </c>
      <c r="H33" s="187"/>
    </row>
    <row r="34" spans="1:8">
      <c r="A34" s="183" t="s">
        <v>101</v>
      </c>
      <c r="B34" s="12" t="s">
        <v>46</v>
      </c>
      <c r="C34" s="188" t="s">
        <v>53</v>
      </c>
      <c r="D34" s="12" t="s">
        <v>71</v>
      </c>
      <c r="E34" s="187">
        <v>12900</v>
      </c>
      <c r="F34" s="182">
        <f t="shared" si="1"/>
        <v>12900</v>
      </c>
      <c r="G34" s="187">
        <v>12700</v>
      </c>
      <c r="H34" s="187"/>
    </row>
    <row r="35" spans="1:8">
      <c r="A35" s="183" t="s">
        <v>102</v>
      </c>
      <c r="B35" s="257" t="s">
        <v>47</v>
      </c>
      <c r="C35" s="259" t="s">
        <v>242</v>
      </c>
      <c r="D35" s="247" t="s">
        <v>71</v>
      </c>
      <c r="E35" s="252">
        <v>6300</v>
      </c>
      <c r="F35" s="252">
        <f t="shared" si="1"/>
        <v>6300</v>
      </c>
      <c r="G35" s="252">
        <v>6200</v>
      </c>
      <c r="H35" s="252"/>
    </row>
    <row r="36" spans="1:8" ht="12.75" customHeight="1">
      <c r="A36" s="189"/>
      <c r="B36" s="258"/>
      <c r="C36" s="260"/>
      <c r="D36" s="248"/>
      <c r="E36" s="253"/>
      <c r="F36" s="253"/>
      <c r="G36" s="253"/>
      <c r="H36" s="253"/>
    </row>
    <row r="37" spans="1:8">
      <c r="A37" s="67" t="s">
        <v>103</v>
      </c>
      <c r="B37" s="12" t="s">
        <v>48</v>
      </c>
      <c r="C37" s="67" t="s">
        <v>66</v>
      </c>
      <c r="D37" s="12" t="s">
        <v>71</v>
      </c>
      <c r="E37" s="182">
        <v>23100</v>
      </c>
      <c r="F37" s="182">
        <f t="shared" si="1"/>
        <v>23100</v>
      </c>
      <c r="G37" s="182">
        <v>22800</v>
      </c>
      <c r="H37" s="182"/>
    </row>
    <row r="38" spans="1:8" ht="12.75" customHeight="1">
      <c r="A38" s="67" t="s">
        <v>104</v>
      </c>
      <c r="B38" s="12" t="s">
        <v>52</v>
      </c>
      <c r="C38" s="67" t="s">
        <v>111</v>
      </c>
      <c r="D38" s="12"/>
      <c r="E38" s="182">
        <f>SUM(E39)</f>
        <v>67500</v>
      </c>
      <c r="F38" s="182">
        <f>SUM(F39)</f>
        <v>67500</v>
      </c>
      <c r="G38" s="182">
        <f>SUM(G39)</f>
        <v>0</v>
      </c>
      <c r="H38" s="182">
        <f>SUM(H39)</f>
        <v>0</v>
      </c>
    </row>
    <row r="39" spans="1:8" ht="25.5" customHeight="1">
      <c r="A39" s="189" t="s">
        <v>105</v>
      </c>
      <c r="B39" s="12"/>
      <c r="C39" s="190" t="s">
        <v>379</v>
      </c>
      <c r="D39" s="12" t="s">
        <v>71</v>
      </c>
      <c r="E39" s="200">
        <f>32900-7000-4000+4300+41300</f>
        <v>67500</v>
      </c>
      <c r="F39" s="182">
        <f t="shared" si="1"/>
        <v>67500</v>
      </c>
      <c r="G39" s="200"/>
      <c r="H39" s="200"/>
    </row>
    <row r="40" spans="1:8">
      <c r="A40" s="191" t="s">
        <v>106</v>
      </c>
      <c r="B40" s="191"/>
      <c r="C40" s="106" t="s">
        <v>134</v>
      </c>
      <c r="D40" s="191"/>
      <c r="E40" s="192">
        <f>SUM(E17:E38)</f>
        <v>6985000</v>
      </c>
      <c r="F40" s="192">
        <f>SUM(F17:F38)</f>
        <v>6982200</v>
      </c>
      <c r="G40" s="192">
        <f>SUM(G17:G38)</f>
        <v>6623600</v>
      </c>
      <c r="H40" s="192">
        <f>SUM(H17:H38)</f>
        <v>2800</v>
      </c>
    </row>
    <row r="41" spans="1:8">
      <c r="A41" s="261" t="s">
        <v>352</v>
      </c>
      <c r="B41" s="261"/>
      <c r="C41" s="261"/>
      <c r="D41" s="261"/>
      <c r="E41" s="261"/>
      <c r="F41" s="261"/>
      <c r="G41" s="261"/>
      <c r="H41" s="261"/>
    </row>
    <row r="43" spans="1:8">
      <c r="E43" t="s">
        <v>239</v>
      </c>
    </row>
  </sheetData>
  <mergeCells count="25">
    <mergeCell ref="A41:H41"/>
    <mergeCell ref="E12:E14"/>
    <mergeCell ref="F12:H12"/>
    <mergeCell ref="F13:G13"/>
    <mergeCell ref="H13:H14"/>
    <mergeCell ref="F35:F36"/>
    <mergeCell ref="D11:D14"/>
    <mergeCell ref="E11:H11"/>
    <mergeCell ref="B11:B14"/>
    <mergeCell ref="F7:H7"/>
    <mergeCell ref="C11:C14"/>
    <mergeCell ref="G35:G36"/>
    <mergeCell ref="B35:B36"/>
    <mergeCell ref="C35:C36"/>
    <mergeCell ref="H35:H36"/>
    <mergeCell ref="F1:H1"/>
    <mergeCell ref="F3:H3"/>
    <mergeCell ref="F4:H4"/>
    <mergeCell ref="A9:H9"/>
    <mergeCell ref="D35:D36"/>
    <mergeCell ref="F2:H2"/>
    <mergeCell ref="F5:H5"/>
    <mergeCell ref="F6:H6"/>
    <mergeCell ref="A11:A14"/>
    <mergeCell ref="E35:E36"/>
  </mergeCells>
  <pageMargins left="0.59055118110236227" right="0.19685039370078741" top="0.39370078740157483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24"/>
  <sheetViews>
    <sheetView zoomScale="135" zoomScaleNormal="135" workbookViewId="0">
      <selection activeCell="F7" sqref="F7:H7"/>
    </sheetView>
  </sheetViews>
  <sheetFormatPr defaultRowHeight="12.75"/>
  <cols>
    <col min="1" max="1" width="4" customWidth="1"/>
    <col min="2" max="2" width="10.140625" customWidth="1"/>
    <col min="3" max="3" width="33" customWidth="1"/>
    <col min="4" max="4" width="8.85546875" customWidth="1"/>
    <col min="5" max="5" width="8.7109375" customWidth="1"/>
    <col min="6" max="6" width="8.85546875" customWidth="1"/>
    <col min="7" max="7" width="11" customWidth="1"/>
    <col min="8" max="8" width="10.140625" customWidth="1"/>
  </cols>
  <sheetData>
    <row r="1" spans="1:9" ht="12.75" customHeight="1">
      <c r="A1" s="3"/>
      <c r="B1" s="3"/>
      <c r="C1" s="3"/>
      <c r="D1" s="34"/>
      <c r="E1" s="35"/>
      <c r="F1" s="226" t="s">
        <v>7</v>
      </c>
      <c r="G1" s="226"/>
      <c r="H1" s="226"/>
    </row>
    <row r="2" spans="1:9" ht="14.1" customHeight="1">
      <c r="A2" s="3"/>
      <c r="B2" s="3"/>
      <c r="C2" s="3"/>
      <c r="D2" s="34"/>
      <c r="E2" s="35"/>
      <c r="F2" s="226" t="s">
        <v>382</v>
      </c>
      <c r="G2" s="226"/>
      <c r="H2" s="226"/>
      <c r="I2" s="35"/>
    </row>
    <row r="3" spans="1:9" ht="12.75" customHeight="1">
      <c r="A3" s="1"/>
      <c r="B3" s="2"/>
      <c r="C3" s="3"/>
      <c r="D3" s="35"/>
      <c r="E3" s="35"/>
      <c r="F3" s="226" t="s">
        <v>405</v>
      </c>
      <c r="G3" s="226"/>
      <c r="H3" s="226"/>
    </row>
    <row r="4" spans="1:9" ht="12.75" customHeight="1">
      <c r="A4" s="1"/>
      <c r="B4" s="2"/>
      <c r="C4" s="3"/>
      <c r="D4" s="35"/>
      <c r="E4" s="35"/>
      <c r="F4" s="227" t="s">
        <v>353</v>
      </c>
      <c r="G4" s="227"/>
      <c r="H4" s="227"/>
    </row>
    <row r="5" spans="1:9" ht="12.75" customHeight="1">
      <c r="A5" s="1"/>
      <c r="B5" s="2"/>
      <c r="C5" s="3"/>
      <c r="D5" s="35"/>
      <c r="E5" s="35"/>
      <c r="F5" s="227" t="s">
        <v>407</v>
      </c>
      <c r="G5" s="227"/>
      <c r="H5" s="227"/>
    </row>
    <row r="6" spans="1:9" ht="12.75" customHeight="1">
      <c r="A6" s="1"/>
      <c r="B6" s="2"/>
      <c r="C6" s="3"/>
      <c r="D6" s="35"/>
      <c r="E6" s="35"/>
      <c r="F6" s="227" t="s">
        <v>433</v>
      </c>
      <c r="G6" s="227"/>
      <c r="H6" s="227"/>
    </row>
    <row r="7" spans="1:9" ht="12.75" customHeight="1">
      <c r="A7" s="1"/>
      <c r="B7" s="2"/>
      <c r="C7" s="3"/>
      <c r="D7" s="35"/>
      <c r="E7" s="35"/>
      <c r="F7" s="227" t="s">
        <v>435</v>
      </c>
      <c r="G7" s="227"/>
      <c r="H7" s="227"/>
    </row>
    <row r="8" spans="1:9">
      <c r="A8" s="231" t="s">
        <v>389</v>
      </c>
      <c r="B8" s="231"/>
      <c r="C8" s="231"/>
      <c r="D8" s="231"/>
      <c r="E8" s="231"/>
      <c r="F8" s="231"/>
      <c r="G8" s="231"/>
      <c r="H8" s="231"/>
    </row>
    <row r="9" spans="1:9" ht="12.75" customHeight="1">
      <c r="A9" s="231"/>
      <c r="B9" s="231"/>
      <c r="C9" s="231"/>
      <c r="D9" s="231"/>
      <c r="E9" s="231"/>
      <c r="F9" s="231"/>
      <c r="G9" s="231"/>
      <c r="H9" s="231"/>
      <c r="I9" s="33"/>
    </row>
    <row r="10" spans="1:9">
      <c r="A10" s="231"/>
      <c r="B10" s="231"/>
      <c r="C10" s="231"/>
      <c r="D10" s="231"/>
      <c r="E10" s="231"/>
      <c r="F10" s="231"/>
      <c r="G10" s="231"/>
      <c r="H10" s="231"/>
    </row>
    <row r="11" spans="1:9" ht="12.75" customHeight="1">
      <c r="A11" s="33"/>
      <c r="B11" s="33"/>
      <c r="C11" s="33"/>
      <c r="D11" s="33"/>
      <c r="E11" s="33"/>
      <c r="F11" s="33"/>
      <c r="G11" s="33"/>
      <c r="H11" s="33"/>
    </row>
    <row r="12" spans="1:9">
      <c r="A12" s="1"/>
      <c r="B12" s="2"/>
      <c r="C12" s="3"/>
      <c r="D12" s="43"/>
      <c r="E12" s="108"/>
      <c r="F12" s="108"/>
      <c r="G12" s="108"/>
      <c r="H12" s="107" t="s">
        <v>260</v>
      </c>
    </row>
    <row r="13" spans="1:9" ht="12.75" customHeight="1">
      <c r="A13" s="228" t="s">
        <v>0</v>
      </c>
      <c r="B13" s="232" t="s">
        <v>1</v>
      </c>
      <c r="C13" s="228" t="s">
        <v>50</v>
      </c>
      <c r="D13" s="223" t="s">
        <v>2</v>
      </c>
      <c r="E13" s="236" t="s">
        <v>65</v>
      </c>
      <c r="F13" s="237"/>
      <c r="G13" s="237"/>
      <c r="H13" s="238"/>
    </row>
    <row r="14" spans="1:9" ht="25.5" customHeight="1">
      <c r="A14" s="229"/>
      <c r="B14" s="233"/>
      <c r="C14" s="229"/>
      <c r="D14" s="224"/>
      <c r="E14" s="228" t="s">
        <v>3</v>
      </c>
      <c r="F14" s="244" t="s">
        <v>4</v>
      </c>
      <c r="G14" s="244"/>
      <c r="H14" s="245"/>
    </row>
    <row r="15" spans="1:9">
      <c r="A15" s="229"/>
      <c r="B15" s="233"/>
      <c r="C15" s="229"/>
      <c r="D15" s="224"/>
      <c r="E15" s="229"/>
      <c r="F15" s="246" t="s">
        <v>125</v>
      </c>
      <c r="G15" s="246"/>
      <c r="H15" s="228" t="s">
        <v>51</v>
      </c>
    </row>
    <row r="16" spans="1:9" ht="25.5">
      <c r="A16" s="230"/>
      <c r="B16" s="234"/>
      <c r="C16" s="230"/>
      <c r="D16" s="225"/>
      <c r="E16" s="230"/>
      <c r="F16" s="90" t="s">
        <v>126</v>
      </c>
      <c r="G16" s="92" t="s">
        <v>8</v>
      </c>
      <c r="H16" s="230"/>
    </row>
    <row r="17" spans="1:12">
      <c r="A17" s="5">
        <v>1</v>
      </c>
      <c r="B17" s="6" t="s">
        <v>5</v>
      </c>
      <c r="C17" s="4">
        <v>3</v>
      </c>
      <c r="D17" s="6" t="s">
        <v>6</v>
      </c>
      <c r="E17" s="4">
        <v>5</v>
      </c>
      <c r="F17" s="4">
        <v>6</v>
      </c>
      <c r="G17" s="4">
        <v>7</v>
      </c>
      <c r="H17" s="4">
        <v>8</v>
      </c>
    </row>
    <row r="18" spans="1:12" ht="25.5">
      <c r="A18" s="37" t="s">
        <v>84</v>
      </c>
      <c r="B18" s="86" t="s">
        <v>10</v>
      </c>
      <c r="C18" s="17" t="s">
        <v>11</v>
      </c>
      <c r="D18" s="12"/>
      <c r="E18" s="81">
        <f>SUM(E19:E39)</f>
        <v>5250500</v>
      </c>
      <c r="F18" s="81">
        <f>SUM(F19:F39)</f>
        <v>5171700</v>
      </c>
      <c r="G18" s="81">
        <f>SUM(G19:G39)</f>
        <v>3927000</v>
      </c>
      <c r="H18" s="81">
        <f>SUM(H19:H39)</f>
        <v>78800</v>
      </c>
      <c r="L18" s="47"/>
    </row>
    <row r="19" spans="1:12">
      <c r="A19" s="32" t="s">
        <v>85</v>
      </c>
      <c r="B19" s="12" t="s">
        <v>29</v>
      </c>
      <c r="C19" s="18" t="s">
        <v>12</v>
      </c>
      <c r="D19" s="12" t="s">
        <v>70</v>
      </c>
      <c r="E19" s="20">
        <f>314400+1600</f>
        <v>316000</v>
      </c>
      <c r="F19" s="20">
        <f t="shared" ref="F19:F30" si="0">E19-H19</f>
        <v>301400</v>
      </c>
      <c r="G19" s="20">
        <v>220200</v>
      </c>
      <c r="H19" s="20">
        <f>13000+1600</f>
        <v>14600</v>
      </c>
    </row>
    <row r="20" spans="1:12">
      <c r="A20" s="32" t="s">
        <v>86</v>
      </c>
      <c r="B20" s="12" t="s">
        <v>30</v>
      </c>
      <c r="C20" s="18" t="s">
        <v>243</v>
      </c>
      <c r="D20" s="12" t="s">
        <v>71</v>
      </c>
      <c r="E20" s="20">
        <f>280700+600+1600+2800</f>
        <v>285700</v>
      </c>
      <c r="F20" s="20">
        <f t="shared" si="0"/>
        <v>281100</v>
      </c>
      <c r="G20" s="20">
        <v>187700</v>
      </c>
      <c r="H20" s="20">
        <f>3000+1600</f>
        <v>4600</v>
      </c>
    </row>
    <row r="21" spans="1:12">
      <c r="A21" s="37" t="s">
        <v>87</v>
      </c>
      <c r="B21" s="42" t="s">
        <v>31</v>
      </c>
      <c r="C21" s="18" t="s">
        <v>256</v>
      </c>
      <c r="D21" s="42" t="s">
        <v>71</v>
      </c>
      <c r="E21" s="41">
        <f>338600+300</f>
        <v>338900</v>
      </c>
      <c r="F21" s="41">
        <f t="shared" si="0"/>
        <v>336900</v>
      </c>
      <c r="G21" s="41">
        <f>245200-1500</f>
        <v>243700</v>
      </c>
      <c r="H21" s="41">
        <v>2000</v>
      </c>
    </row>
    <row r="22" spans="1:12" ht="25.5">
      <c r="A22" s="37" t="s">
        <v>88</v>
      </c>
      <c r="B22" s="42" t="s">
        <v>32</v>
      </c>
      <c r="C22" s="18" t="s">
        <v>244</v>
      </c>
      <c r="D22" s="42" t="s">
        <v>71</v>
      </c>
      <c r="E22" s="41">
        <f>339600+500</f>
        <v>340100</v>
      </c>
      <c r="F22" s="41">
        <f t="shared" si="0"/>
        <v>337100</v>
      </c>
      <c r="G22" s="41">
        <f>224300-6900</f>
        <v>217400</v>
      </c>
      <c r="H22" s="41">
        <v>3000</v>
      </c>
    </row>
    <row r="23" spans="1:12">
      <c r="A23" s="37" t="s">
        <v>89</v>
      </c>
      <c r="B23" s="42" t="s">
        <v>33</v>
      </c>
      <c r="C23" s="18" t="s">
        <v>257</v>
      </c>
      <c r="D23" s="42" t="s">
        <v>71</v>
      </c>
      <c r="E23" s="41">
        <f>322400+600+15000+4600+4000</f>
        <v>346600</v>
      </c>
      <c r="F23" s="41">
        <f t="shared" si="0"/>
        <v>341000</v>
      </c>
      <c r="G23" s="41">
        <v>225400</v>
      </c>
      <c r="H23" s="41">
        <f>1600+4000</f>
        <v>5600</v>
      </c>
    </row>
    <row r="24" spans="1:12" ht="12.75" customHeight="1">
      <c r="A24" s="37" t="s">
        <v>90</v>
      </c>
      <c r="B24" s="42" t="s">
        <v>34</v>
      </c>
      <c r="C24" s="18" t="s">
        <v>258</v>
      </c>
      <c r="D24" s="42" t="s">
        <v>71</v>
      </c>
      <c r="E24" s="41">
        <f>319900+1600</f>
        <v>321500</v>
      </c>
      <c r="F24" s="41">
        <f t="shared" si="0"/>
        <v>316400</v>
      </c>
      <c r="G24" s="41">
        <f>194000-300</f>
        <v>193700</v>
      </c>
      <c r="H24" s="41">
        <f>3500+1600</f>
        <v>5100</v>
      </c>
    </row>
    <row r="25" spans="1:12">
      <c r="A25" s="37" t="s">
        <v>91</v>
      </c>
      <c r="B25" s="42" t="s">
        <v>35</v>
      </c>
      <c r="C25" s="18" t="s">
        <v>253</v>
      </c>
      <c r="D25" s="42" t="s">
        <v>71</v>
      </c>
      <c r="E25" s="41">
        <f>259900+900</f>
        <v>260800</v>
      </c>
      <c r="F25" s="41">
        <f t="shared" si="0"/>
        <v>258800</v>
      </c>
      <c r="G25" s="41">
        <v>194100</v>
      </c>
      <c r="H25" s="41">
        <v>2000</v>
      </c>
    </row>
    <row r="26" spans="1:12" ht="12.75" customHeight="1">
      <c r="A26" s="37" t="s">
        <v>92</v>
      </c>
      <c r="B26" s="42" t="s">
        <v>36</v>
      </c>
      <c r="C26" s="18" t="s">
        <v>13</v>
      </c>
      <c r="D26" s="42" t="s">
        <v>71</v>
      </c>
      <c r="E26" s="41">
        <f>228300+500</f>
        <v>228800</v>
      </c>
      <c r="F26" s="41">
        <f t="shared" si="0"/>
        <v>227900</v>
      </c>
      <c r="G26" s="41">
        <v>168600</v>
      </c>
      <c r="H26" s="41">
        <v>900</v>
      </c>
    </row>
    <row r="27" spans="1:12" ht="25.5">
      <c r="A27" s="37" t="s">
        <v>93</v>
      </c>
      <c r="B27" s="42" t="s">
        <v>37</v>
      </c>
      <c r="C27" s="18" t="s">
        <v>245</v>
      </c>
      <c r="D27" s="42" t="s">
        <v>71</v>
      </c>
      <c r="E27" s="41">
        <f>106500+1000</f>
        <v>107500</v>
      </c>
      <c r="F27" s="41">
        <f t="shared" si="0"/>
        <v>107500</v>
      </c>
      <c r="G27" s="41">
        <f>77000+14200+500-18700</f>
        <v>73000</v>
      </c>
      <c r="H27" s="41"/>
    </row>
    <row r="28" spans="1:12">
      <c r="A28" s="37" t="s">
        <v>94</v>
      </c>
      <c r="B28" s="42" t="s">
        <v>38</v>
      </c>
      <c r="C28" s="18" t="s">
        <v>246</v>
      </c>
      <c r="D28" s="42" t="s">
        <v>71</v>
      </c>
      <c r="E28" s="41">
        <f>180300+1000+8400</f>
        <v>189700</v>
      </c>
      <c r="F28" s="41">
        <f t="shared" si="0"/>
        <v>161300</v>
      </c>
      <c r="G28" s="41">
        <v>112000</v>
      </c>
      <c r="H28" s="41">
        <f>2000+18000+8400</f>
        <v>28400</v>
      </c>
    </row>
    <row r="29" spans="1:12">
      <c r="A29" s="37" t="s">
        <v>95</v>
      </c>
      <c r="B29" s="42" t="s">
        <v>39</v>
      </c>
      <c r="C29" s="18" t="s">
        <v>247</v>
      </c>
      <c r="D29" s="42" t="s">
        <v>71</v>
      </c>
      <c r="E29" s="41">
        <v>211400</v>
      </c>
      <c r="F29" s="41">
        <f t="shared" si="0"/>
        <v>211400</v>
      </c>
      <c r="G29" s="41">
        <v>154300</v>
      </c>
      <c r="H29" s="41"/>
    </row>
    <row r="30" spans="1:12">
      <c r="A30" s="37" t="s">
        <v>96</v>
      </c>
      <c r="B30" s="42" t="s">
        <v>40</v>
      </c>
      <c r="C30" s="18" t="s">
        <v>259</v>
      </c>
      <c r="D30" s="42" t="s">
        <v>71</v>
      </c>
      <c r="E30" s="41">
        <f>135800+400</f>
        <v>136200</v>
      </c>
      <c r="F30" s="41">
        <f t="shared" si="0"/>
        <v>135200</v>
      </c>
      <c r="G30" s="41">
        <v>100000</v>
      </c>
      <c r="H30" s="41">
        <v>1000</v>
      </c>
    </row>
    <row r="31" spans="1:12">
      <c r="A31" s="32" t="s">
        <v>97</v>
      </c>
      <c r="B31" s="12" t="s">
        <v>41</v>
      </c>
      <c r="C31" s="18" t="s">
        <v>14</v>
      </c>
      <c r="D31" s="12" t="s">
        <v>71</v>
      </c>
      <c r="E31" s="20">
        <v>271500</v>
      </c>
      <c r="F31" s="20">
        <f>E31-H31</f>
        <v>267500</v>
      </c>
      <c r="G31" s="20">
        <v>202000</v>
      </c>
      <c r="H31" s="20">
        <v>4000</v>
      </c>
    </row>
    <row r="32" spans="1:12">
      <c r="A32" s="32" t="s">
        <v>98</v>
      </c>
      <c r="B32" s="12" t="s">
        <v>42</v>
      </c>
      <c r="C32" s="18" t="s">
        <v>15</v>
      </c>
      <c r="D32" s="12" t="s">
        <v>71</v>
      </c>
      <c r="E32" s="20">
        <v>464500</v>
      </c>
      <c r="F32" s="20">
        <f>E32-H32</f>
        <v>464500</v>
      </c>
      <c r="G32" s="20">
        <v>394900</v>
      </c>
      <c r="H32" s="20"/>
    </row>
    <row r="33" spans="1:8">
      <c r="A33" s="32" t="s">
        <v>99</v>
      </c>
      <c r="B33" s="12" t="s">
        <v>43</v>
      </c>
      <c r="C33" s="18" t="s">
        <v>120</v>
      </c>
      <c r="D33" s="12" t="s">
        <v>71</v>
      </c>
      <c r="E33" s="20">
        <f>244100+1000</f>
        <v>245100</v>
      </c>
      <c r="F33" s="20">
        <f>E33-H33</f>
        <v>245100</v>
      </c>
      <c r="G33" s="20">
        <v>201700</v>
      </c>
      <c r="H33" s="20"/>
    </row>
    <row r="34" spans="1:8" ht="12.75" customHeight="1">
      <c r="A34" s="37" t="s">
        <v>100</v>
      </c>
      <c r="B34" s="42" t="s">
        <v>44</v>
      </c>
      <c r="C34" s="18" t="s">
        <v>248</v>
      </c>
      <c r="D34" s="12" t="s">
        <v>71</v>
      </c>
      <c r="E34" s="41">
        <v>159700</v>
      </c>
      <c r="F34" s="41">
        <f>E34-H34</f>
        <v>159700</v>
      </c>
      <c r="G34" s="41">
        <v>149500</v>
      </c>
      <c r="H34" s="41"/>
    </row>
    <row r="35" spans="1:8" ht="12.75" customHeight="1">
      <c r="A35" s="32" t="s">
        <v>101</v>
      </c>
      <c r="B35" s="12" t="s">
        <v>45</v>
      </c>
      <c r="C35" s="18" t="s">
        <v>53</v>
      </c>
      <c r="D35" s="12" t="s">
        <v>71</v>
      </c>
      <c r="E35" s="20">
        <f>359600+200</f>
        <v>359800</v>
      </c>
      <c r="F35" s="41">
        <f t="shared" ref="F35:F44" si="1">E35-H35</f>
        <v>358800</v>
      </c>
      <c r="G35" s="20">
        <f>339500-3800</f>
        <v>335700</v>
      </c>
      <c r="H35" s="20">
        <v>1000</v>
      </c>
    </row>
    <row r="36" spans="1:8" ht="25.5">
      <c r="A36" s="37" t="s">
        <v>102</v>
      </c>
      <c r="B36" s="42" t="s">
        <v>46</v>
      </c>
      <c r="C36" s="18" t="s">
        <v>242</v>
      </c>
      <c r="D36" s="42" t="s">
        <v>71</v>
      </c>
      <c r="E36" s="41">
        <v>171600</v>
      </c>
      <c r="F36" s="41">
        <f t="shared" si="1"/>
        <v>171600</v>
      </c>
      <c r="G36" s="41">
        <f>159600-2300</f>
        <v>157300</v>
      </c>
      <c r="H36" s="41"/>
    </row>
    <row r="37" spans="1:8" ht="25.5">
      <c r="A37" s="37" t="s">
        <v>103</v>
      </c>
      <c r="B37" s="42" t="s">
        <v>47</v>
      </c>
      <c r="C37" s="18" t="s">
        <v>66</v>
      </c>
      <c r="D37" s="42" t="s">
        <v>71</v>
      </c>
      <c r="E37" s="41">
        <f>334900+1600</f>
        <v>336500</v>
      </c>
      <c r="F37" s="41">
        <f t="shared" si="1"/>
        <v>329900</v>
      </c>
      <c r="G37" s="41">
        <v>279600</v>
      </c>
      <c r="H37" s="41">
        <f>5000+1600</f>
        <v>6600</v>
      </c>
    </row>
    <row r="38" spans="1:8" ht="12.75" customHeight="1">
      <c r="A38" s="37" t="s">
        <v>104</v>
      </c>
      <c r="B38" s="42" t="s">
        <v>359</v>
      </c>
      <c r="C38" s="18" t="s">
        <v>355</v>
      </c>
      <c r="D38" s="42" t="s">
        <v>71</v>
      </c>
      <c r="E38" s="41">
        <v>141900</v>
      </c>
      <c r="F38" s="41">
        <f t="shared" si="1"/>
        <v>141900</v>
      </c>
      <c r="G38" s="41">
        <v>116200</v>
      </c>
      <c r="H38" s="41"/>
    </row>
    <row r="39" spans="1:8" ht="12" customHeight="1">
      <c r="A39" s="37" t="s">
        <v>105</v>
      </c>
      <c r="B39" s="247" t="s">
        <v>52</v>
      </c>
      <c r="C39" s="18" t="s">
        <v>69</v>
      </c>
      <c r="D39" s="12"/>
      <c r="E39" s="41">
        <f>SUM(E40:E44)</f>
        <v>16700</v>
      </c>
      <c r="F39" s="41">
        <f>SUM(F40:F44)</f>
        <v>16700</v>
      </c>
      <c r="G39" s="41"/>
      <c r="H39" s="41"/>
    </row>
    <row r="40" spans="1:8" ht="25.5">
      <c r="A40" s="37" t="s">
        <v>106</v>
      </c>
      <c r="B40" s="268"/>
      <c r="C40" s="57" t="s">
        <v>263</v>
      </c>
      <c r="D40" s="114" t="s">
        <v>71</v>
      </c>
      <c r="E40" s="97">
        <v>3000</v>
      </c>
      <c r="F40" s="41">
        <f t="shared" si="1"/>
        <v>3000</v>
      </c>
      <c r="G40" s="41"/>
      <c r="H40" s="41"/>
    </row>
    <row r="41" spans="1:8">
      <c r="A41" s="37" t="s">
        <v>107</v>
      </c>
      <c r="B41" s="268"/>
      <c r="C41" s="57" t="s">
        <v>264</v>
      </c>
      <c r="D41" s="114" t="s">
        <v>71</v>
      </c>
      <c r="E41" s="97">
        <f>6000-6000</f>
        <v>0</v>
      </c>
      <c r="F41" s="41">
        <f t="shared" si="1"/>
        <v>0</v>
      </c>
      <c r="G41" s="41"/>
      <c r="H41" s="41"/>
    </row>
    <row r="42" spans="1:8" ht="12.75" customHeight="1">
      <c r="A42" s="37" t="s">
        <v>108</v>
      </c>
      <c r="B42" s="268"/>
      <c r="C42" s="57" t="s">
        <v>287</v>
      </c>
      <c r="D42" s="114" t="s">
        <v>71</v>
      </c>
      <c r="E42" s="97">
        <f>5000</f>
        <v>5000</v>
      </c>
      <c r="F42" s="41">
        <f t="shared" si="1"/>
        <v>5000</v>
      </c>
      <c r="G42" s="41"/>
      <c r="H42" s="41"/>
    </row>
    <row r="43" spans="1:8" ht="12.75" customHeight="1">
      <c r="A43" s="37" t="s">
        <v>109</v>
      </c>
      <c r="B43" s="268"/>
      <c r="C43" s="57" t="s">
        <v>265</v>
      </c>
      <c r="D43" s="114" t="s">
        <v>71</v>
      </c>
      <c r="E43" s="97">
        <v>3000</v>
      </c>
      <c r="F43" s="41">
        <f t="shared" si="1"/>
        <v>3000</v>
      </c>
      <c r="G43" s="41"/>
      <c r="H43" s="41"/>
    </row>
    <row r="44" spans="1:8">
      <c r="A44" s="37" t="s">
        <v>110</v>
      </c>
      <c r="B44" s="248"/>
      <c r="C44" s="57" t="s">
        <v>412</v>
      </c>
      <c r="D44" s="114" t="s">
        <v>71</v>
      </c>
      <c r="E44" s="97">
        <v>5700</v>
      </c>
      <c r="F44" s="41">
        <f t="shared" si="1"/>
        <v>5700</v>
      </c>
      <c r="G44" s="41"/>
      <c r="H44" s="41"/>
    </row>
    <row r="45" spans="1:8" ht="38.25">
      <c r="A45" s="39" t="s">
        <v>180</v>
      </c>
      <c r="B45" s="31" t="s">
        <v>9</v>
      </c>
      <c r="C45" s="8" t="s">
        <v>16</v>
      </c>
      <c r="D45" s="44"/>
      <c r="E45" s="82">
        <f>E46+E47+E48+E49+E50</f>
        <v>2600400</v>
      </c>
      <c r="F45" s="82">
        <f>F46+F47+F48+F49+F50</f>
        <v>2578400</v>
      </c>
      <c r="G45" s="82">
        <f>G46+G47+G48+G49+G50</f>
        <v>1059800</v>
      </c>
      <c r="H45" s="82">
        <f>H46+H47+H48+H49+H50</f>
        <v>22000</v>
      </c>
    </row>
    <row r="46" spans="1:8" ht="25.5">
      <c r="A46" s="39" t="s">
        <v>181</v>
      </c>
      <c r="B46" s="40" t="s">
        <v>23</v>
      </c>
      <c r="C46" s="51" t="s">
        <v>17</v>
      </c>
      <c r="D46" s="39">
        <v>10</v>
      </c>
      <c r="E46" s="99">
        <v>383800</v>
      </c>
      <c r="F46" s="41">
        <f>E46-H46</f>
        <v>383800</v>
      </c>
      <c r="G46" s="121">
        <v>351300</v>
      </c>
      <c r="H46" s="99"/>
    </row>
    <row r="47" spans="1:8" ht="12.75" customHeight="1">
      <c r="A47" s="39" t="s">
        <v>182</v>
      </c>
      <c r="B47" s="50"/>
      <c r="C47" s="115" t="s">
        <v>231</v>
      </c>
      <c r="D47" s="105" t="s">
        <v>77</v>
      </c>
      <c r="E47" s="25">
        <f>29400+300</f>
        <v>29700</v>
      </c>
      <c r="F47" s="41">
        <f>E47-H47</f>
        <v>29700</v>
      </c>
      <c r="G47" s="28">
        <f>28500+200</f>
        <v>28700</v>
      </c>
      <c r="H47" s="25"/>
    </row>
    <row r="48" spans="1:8">
      <c r="A48" s="39" t="s">
        <v>183</v>
      </c>
      <c r="B48" s="50" t="s">
        <v>24</v>
      </c>
      <c r="C48" s="9" t="s">
        <v>82</v>
      </c>
      <c r="D48" s="38" t="s">
        <v>72</v>
      </c>
      <c r="E48" s="28">
        <v>149400</v>
      </c>
      <c r="F48" s="41">
        <f>E48-H48</f>
        <v>127400</v>
      </c>
      <c r="G48" s="28">
        <v>97000</v>
      </c>
      <c r="H48" s="25">
        <v>22000</v>
      </c>
    </row>
    <row r="49" spans="1:8">
      <c r="A49" s="39" t="s">
        <v>184</v>
      </c>
      <c r="B49" s="50" t="s">
        <v>25</v>
      </c>
      <c r="C49" s="118" t="s">
        <v>368</v>
      </c>
      <c r="D49" s="38" t="s">
        <v>72</v>
      </c>
      <c r="E49" s="28">
        <f>651600+4000</f>
        <v>655600</v>
      </c>
      <c r="F49" s="41">
        <f>E49-H49</f>
        <v>655600</v>
      </c>
      <c r="G49" s="28">
        <f>586800-4000</f>
        <v>582800</v>
      </c>
      <c r="H49" s="28"/>
    </row>
    <row r="50" spans="1:8" ht="12.75" customHeight="1">
      <c r="A50" s="39" t="s">
        <v>185</v>
      </c>
      <c r="B50" s="220" t="s">
        <v>132</v>
      </c>
      <c r="C50" s="11" t="s">
        <v>69</v>
      </c>
      <c r="D50" s="38"/>
      <c r="E50" s="28">
        <f>SUM(E51:E63)</f>
        <v>1381900</v>
      </c>
      <c r="F50" s="28">
        <f>SUM(F51:F63)</f>
        <v>1381900</v>
      </c>
      <c r="G50" s="28">
        <f>SUM(G51:G63)</f>
        <v>0</v>
      </c>
      <c r="H50" s="28">
        <f>SUM(H51:H63)</f>
        <v>0</v>
      </c>
    </row>
    <row r="51" spans="1:8" ht="12.75" customHeight="1">
      <c r="A51" s="37" t="s">
        <v>186</v>
      </c>
      <c r="B51" s="222"/>
      <c r="C51" s="131" t="s">
        <v>373</v>
      </c>
      <c r="D51" s="53" t="s">
        <v>72</v>
      </c>
      <c r="E51" s="58">
        <v>31500</v>
      </c>
      <c r="F51" s="97">
        <f>E51-H51</f>
        <v>31500</v>
      </c>
      <c r="G51" s="54"/>
      <c r="H51" s="56"/>
    </row>
    <row r="52" spans="1:8" ht="25.5">
      <c r="A52" s="37" t="s">
        <v>187</v>
      </c>
      <c r="B52" s="222"/>
      <c r="C52" s="55" t="s">
        <v>266</v>
      </c>
      <c r="D52" s="53" t="s">
        <v>72</v>
      </c>
      <c r="E52" s="58">
        <v>10000</v>
      </c>
      <c r="F52" s="97">
        <f>E52-H52</f>
        <v>10000</v>
      </c>
      <c r="G52" s="54"/>
      <c r="H52" s="56"/>
    </row>
    <row r="53" spans="1:8">
      <c r="A53" s="37" t="s">
        <v>188</v>
      </c>
      <c r="B53" s="222"/>
      <c r="C53" s="55" t="s">
        <v>390</v>
      </c>
      <c r="D53" s="53" t="s">
        <v>72</v>
      </c>
      <c r="E53" s="58">
        <v>20000</v>
      </c>
      <c r="F53" s="97">
        <f t="shared" ref="F53:F61" si="2">E53-H53</f>
        <v>20000</v>
      </c>
      <c r="G53" s="54"/>
      <c r="H53" s="56"/>
    </row>
    <row r="54" spans="1:8">
      <c r="A54" s="37" t="s">
        <v>189</v>
      </c>
      <c r="B54" s="222"/>
      <c r="C54" s="55" t="s">
        <v>262</v>
      </c>
      <c r="D54" s="53" t="s">
        <v>72</v>
      </c>
      <c r="E54" s="58">
        <f>650000+22600</f>
        <v>672600</v>
      </c>
      <c r="F54" s="97">
        <f t="shared" si="2"/>
        <v>672600</v>
      </c>
      <c r="G54" s="54"/>
      <c r="H54" s="56"/>
    </row>
    <row r="55" spans="1:8">
      <c r="A55" s="37" t="s">
        <v>190</v>
      </c>
      <c r="B55" s="222"/>
      <c r="C55" s="55" t="s">
        <v>267</v>
      </c>
      <c r="D55" s="53" t="s">
        <v>72</v>
      </c>
      <c r="E55" s="58">
        <f>28000-4100</f>
        <v>23900</v>
      </c>
      <c r="F55" s="97">
        <f t="shared" si="2"/>
        <v>23900</v>
      </c>
      <c r="G55" s="54"/>
      <c r="H55" s="54"/>
    </row>
    <row r="56" spans="1:8">
      <c r="A56" s="37" t="s">
        <v>191</v>
      </c>
      <c r="B56" s="222"/>
      <c r="C56" s="55" t="s">
        <v>268</v>
      </c>
      <c r="D56" s="53" t="s">
        <v>72</v>
      </c>
      <c r="E56" s="58">
        <v>2400</v>
      </c>
      <c r="F56" s="97">
        <f t="shared" si="2"/>
        <v>2400</v>
      </c>
      <c r="G56" s="54"/>
      <c r="H56" s="54"/>
    </row>
    <row r="57" spans="1:8" ht="25.5">
      <c r="A57" s="37" t="s">
        <v>192</v>
      </c>
      <c r="B57" s="222"/>
      <c r="C57" s="55" t="s">
        <v>374</v>
      </c>
      <c r="D57" s="53" t="s">
        <v>72</v>
      </c>
      <c r="E57" s="58">
        <f>40000-5700</f>
        <v>34300</v>
      </c>
      <c r="F57" s="97">
        <f t="shared" si="2"/>
        <v>34300</v>
      </c>
      <c r="G57" s="54"/>
      <c r="H57" s="56"/>
    </row>
    <row r="58" spans="1:8" ht="25.5">
      <c r="A58" s="37" t="s">
        <v>193</v>
      </c>
      <c r="B58" s="222"/>
      <c r="C58" s="55" t="s">
        <v>295</v>
      </c>
      <c r="D58" s="53" t="s">
        <v>72</v>
      </c>
      <c r="E58" s="58">
        <f>50000-7000</f>
        <v>43000</v>
      </c>
      <c r="F58" s="97">
        <f t="shared" si="2"/>
        <v>43000</v>
      </c>
      <c r="G58" s="54"/>
      <c r="H58" s="56"/>
    </row>
    <row r="59" spans="1:8">
      <c r="A59" s="37" t="s">
        <v>194</v>
      </c>
      <c r="B59" s="222"/>
      <c r="C59" s="55" t="s">
        <v>269</v>
      </c>
      <c r="D59" s="53" t="s">
        <v>72</v>
      </c>
      <c r="E59" s="58">
        <f>40000</f>
        <v>40000</v>
      </c>
      <c r="F59" s="97">
        <f t="shared" si="2"/>
        <v>40000</v>
      </c>
      <c r="G59" s="54"/>
      <c r="H59" s="56"/>
    </row>
    <row r="60" spans="1:8" ht="25.5">
      <c r="A60" s="37" t="s">
        <v>195</v>
      </c>
      <c r="B60" s="222"/>
      <c r="C60" s="55" t="s">
        <v>296</v>
      </c>
      <c r="D60" s="53" t="s">
        <v>72</v>
      </c>
      <c r="E60" s="58">
        <v>15000</v>
      </c>
      <c r="F60" s="97">
        <f t="shared" si="2"/>
        <v>15000</v>
      </c>
      <c r="G60" s="54"/>
      <c r="H60" s="56"/>
    </row>
    <row r="61" spans="1:8" ht="12.75" customHeight="1">
      <c r="A61" s="37" t="s">
        <v>196</v>
      </c>
      <c r="B61" s="222"/>
      <c r="C61" s="55" t="s">
        <v>270</v>
      </c>
      <c r="D61" s="53" t="s">
        <v>72</v>
      </c>
      <c r="E61" s="58">
        <v>400000</v>
      </c>
      <c r="F61" s="97">
        <f t="shared" si="2"/>
        <v>400000</v>
      </c>
      <c r="G61" s="54"/>
      <c r="H61" s="56"/>
    </row>
    <row r="62" spans="1:8" ht="12.75" customHeight="1">
      <c r="A62" s="37" t="s">
        <v>197</v>
      </c>
      <c r="B62" s="222"/>
      <c r="C62" s="55" t="s">
        <v>360</v>
      </c>
      <c r="D62" s="53" t="s">
        <v>72</v>
      </c>
      <c r="E62" s="58">
        <f>20000+1500+5700</f>
        <v>27200</v>
      </c>
      <c r="F62" s="97">
        <f>E62-H62</f>
        <v>27200</v>
      </c>
      <c r="G62" s="54"/>
      <c r="H62" s="56"/>
    </row>
    <row r="63" spans="1:8" ht="12.75" customHeight="1">
      <c r="A63" s="37" t="s">
        <v>198</v>
      </c>
      <c r="B63" s="222"/>
      <c r="C63" s="55" t="s">
        <v>271</v>
      </c>
      <c r="D63" s="53" t="s">
        <v>72</v>
      </c>
      <c r="E63" s="58">
        <f>75000-13000</f>
        <v>62000</v>
      </c>
      <c r="F63" s="97">
        <f>E63-H63</f>
        <v>62000</v>
      </c>
      <c r="G63" s="54"/>
      <c r="H63" s="56"/>
    </row>
    <row r="64" spans="1:8" ht="38.25">
      <c r="A64" s="37" t="s">
        <v>199</v>
      </c>
      <c r="B64" s="62" t="s">
        <v>54</v>
      </c>
      <c r="C64" s="22" t="s">
        <v>417</v>
      </c>
      <c r="D64" s="46"/>
      <c r="E64" s="82">
        <f>SUM(E65:E72)</f>
        <v>2115100</v>
      </c>
      <c r="F64" s="82">
        <f>SUM(F65:F72)</f>
        <v>2073900</v>
      </c>
      <c r="G64" s="82">
        <f>SUM(G65:G72)</f>
        <v>1286900</v>
      </c>
      <c r="H64" s="82">
        <f>SUM(H65:H72)</f>
        <v>41200</v>
      </c>
    </row>
    <row r="65" spans="1:8">
      <c r="A65" s="37" t="s">
        <v>200</v>
      </c>
      <c r="B65" s="36" t="s">
        <v>58</v>
      </c>
      <c r="C65" s="9" t="s">
        <v>55</v>
      </c>
      <c r="D65" s="45" t="s">
        <v>75</v>
      </c>
      <c r="E65" s="23">
        <f>195400+5500</f>
        <v>200900</v>
      </c>
      <c r="F65" s="41">
        <f t="shared" ref="F65:F71" si="3">E65-H65</f>
        <v>200900</v>
      </c>
      <c r="G65" s="23">
        <v>173800</v>
      </c>
      <c r="H65" s="23"/>
    </row>
    <row r="66" spans="1:8" ht="25.5">
      <c r="A66" s="37" t="s">
        <v>201</v>
      </c>
      <c r="B66" s="36" t="s">
        <v>59</v>
      </c>
      <c r="C66" s="9" t="s">
        <v>238</v>
      </c>
      <c r="D66" s="38" t="s">
        <v>75</v>
      </c>
      <c r="E66" s="28">
        <v>605700</v>
      </c>
      <c r="F66" s="41">
        <f t="shared" si="3"/>
        <v>603700</v>
      </c>
      <c r="G66" s="28">
        <v>525700</v>
      </c>
      <c r="H66" s="28">
        <v>2000</v>
      </c>
    </row>
    <row r="67" spans="1:8">
      <c r="A67" s="37" t="s">
        <v>202</v>
      </c>
      <c r="B67" s="36" t="s">
        <v>60</v>
      </c>
      <c r="C67" s="60" t="s">
        <v>74</v>
      </c>
      <c r="D67" s="38" t="s">
        <v>75</v>
      </c>
      <c r="E67" s="28">
        <f>518600+600</f>
        <v>519200</v>
      </c>
      <c r="F67" s="41">
        <f t="shared" si="3"/>
        <v>489200</v>
      </c>
      <c r="G67" s="28">
        <v>344000</v>
      </c>
      <c r="H67" s="28">
        <v>30000</v>
      </c>
    </row>
    <row r="68" spans="1:8" ht="12.75" customHeight="1">
      <c r="A68" s="37" t="s">
        <v>203</v>
      </c>
      <c r="B68" s="36" t="s">
        <v>61</v>
      </c>
      <c r="C68" s="9" t="s">
        <v>133</v>
      </c>
      <c r="D68" s="38" t="s">
        <v>75</v>
      </c>
      <c r="E68" s="28">
        <v>76600</v>
      </c>
      <c r="F68" s="41">
        <f t="shared" si="3"/>
        <v>76000</v>
      </c>
      <c r="G68" s="28">
        <v>65000</v>
      </c>
      <c r="H68" s="28">
        <v>600</v>
      </c>
    </row>
    <row r="69" spans="1:8">
      <c r="A69" s="37" t="s">
        <v>204</v>
      </c>
      <c r="B69" s="36" t="s">
        <v>62</v>
      </c>
      <c r="C69" s="60" t="s">
        <v>56</v>
      </c>
      <c r="D69" s="38" t="s">
        <v>75</v>
      </c>
      <c r="E69" s="28">
        <v>71000</v>
      </c>
      <c r="F69" s="41">
        <f t="shared" si="3"/>
        <v>71000</v>
      </c>
      <c r="G69" s="28">
        <v>59300</v>
      </c>
      <c r="H69" s="28"/>
    </row>
    <row r="70" spans="1:8" ht="12.75" customHeight="1">
      <c r="A70" s="37" t="s">
        <v>205</v>
      </c>
      <c r="B70" s="36" t="s">
        <v>63</v>
      </c>
      <c r="C70" s="9" t="s">
        <v>232</v>
      </c>
      <c r="D70" s="38" t="s">
        <v>75</v>
      </c>
      <c r="E70" s="28">
        <f>75600</f>
        <v>75600</v>
      </c>
      <c r="F70" s="41">
        <f t="shared" si="3"/>
        <v>75600</v>
      </c>
      <c r="G70" s="28">
        <v>60200</v>
      </c>
      <c r="H70" s="28"/>
    </row>
    <row r="71" spans="1:8">
      <c r="A71" s="37" t="s">
        <v>206</v>
      </c>
      <c r="B71" s="36" t="s">
        <v>64</v>
      </c>
      <c r="C71" s="9" t="s">
        <v>57</v>
      </c>
      <c r="D71" s="38" t="s">
        <v>75</v>
      </c>
      <c r="E71" s="28">
        <f>83100+1500+2500</f>
        <v>87100</v>
      </c>
      <c r="F71" s="41">
        <f t="shared" si="3"/>
        <v>86500</v>
      </c>
      <c r="G71" s="28">
        <v>58900</v>
      </c>
      <c r="H71" s="28">
        <v>600</v>
      </c>
    </row>
    <row r="72" spans="1:8" ht="12.75" customHeight="1">
      <c r="A72" s="37" t="s">
        <v>207</v>
      </c>
      <c r="B72" s="220" t="s">
        <v>73</v>
      </c>
      <c r="C72" s="18" t="s">
        <v>18</v>
      </c>
      <c r="D72" s="38"/>
      <c r="E72" s="28">
        <f>SUM(E73:E81)</f>
        <v>479000</v>
      </c>
      <c r="F72" s="28">
        <f>SUM(F73:F81)</f>
        <v>471000</v>
      </c>
      <c r="G72" s="28">
        <f>SUM(G73:G81)</f>
        <v>0</v>
      </c>
      <c r="H72" s="28">
        <f>SUM(H73:H81)</f>
        <v>8000</v>
      </c>
    </row>
    <row r="73" spans="1:8" ht="12.75" customHeight="1">
      <c r="A73" s="37" t="s">
        <v>208</v>
      </c>
      <c r="B73" s="222"/>
      <c r="C73" s="57" t="s">
        <v>272</v>
      </c>
      <c r="D73" s="53" t="s">
        <v>10</v>
      </c>
      <c r="E73" s="58">
        <v>13000</v>
      </c>
      <c r="F73" s="93">
        <f t="shared" ref="F73:F81" si="4">E73-H73</f>
        <v>5000</v>
      </c>
      <c r="G73" s="58"/>
      <c r="H73" s="58">
        <v>8000</v>
      </c>
    </row>
    <row r="74" spans="1:8" ht="26.25" customHeight="1">
      <c r="A74" s="37" t="s">
        <v>209</v>
      </c>
      <c r="B74" s="222"/>
      <c r="C74" s="57" t="s">
        <v>391</v>
      </c>
      <c r="D74" s="53" t="s">
        <v>75</v>
      </c>
      <c r="E74" s="58">
        <f>30000-11500</f>
        <v>18500</v>
      </c>
      <c r="F74" s="97">
        <f t="shared" si="4"/>
        <v>18500</v>
      </c>
      <c r="G74" s="58"/>
      <c r="H74" s="58"/>
    </row>
    <row r="75" spans="1:8" ht="26.25" customHeight="1">
      <c r="A75" s="37" t="s">
        <v>210</v>
      </c>
      <c r="B75" s="222"/>
      <c r="C75" s="57" t="s">
        <v>392</v>
      </c>
      <c r="D75" s="53" t="s">
        <v>75</v>
      </c>
      <c r="E75" s="58">
        <f>30000+10000</f>
        <v>40000</v>
      </c>
      <c r="F75" s="97">
        <f t="shared" si="4"/>
        <v>40000</v>
      </c>
      <c r="G75" s="58"/>
      <c r="H75" s="58"/>
    </row>
    <row r="76" spans="1:8" ht="25.5" customHeight="1">
      <c r="A76" s="37" t="s">
        <v>211</v>
      </c>
      <c r="B76" s="222"/>
      <c r="C76" s="57" t="s">
        <v>393</v>
      </c>
      <c r="D76" s="53" t="s">
        <v>75</v>
      </c>
      <c r="E76" s="58">
        <f>10000+24000</f>
        <v>34000</v>
      </c>
      <c r="F76" s="97">
        <f t="shared" si="4"/>
        <v>34000</v>
      </c>
      <c r="G76" s="58"/>
      <c r="H76" s="58"/>
    </row>
    <row r="77" spans="1:8" ht="12.75" customHeight="1">
      <c r="A77" s="37" t="s">
        <v>212</v>
      </c>
      <c r="B77" s="222"/>
      <c r="C77" s="202" t="s">
        <v>415</v>
      </c>
      <c r="D77" s="53" t="s">
        <v>75</v>
      </c>
      <c r="E77" s="98">
        <f>250000+60000</f>
        <v>310000</v>
      </c>
      <c r="F77" s="194">
        <f t="shared" si="4"/>
        <v>310000</v>
      </c>
      <c r="G77" s="98"/>
      <c r="H77" s="98"/>
    </row>
    <row r="78" spans="1:8">
      <c r="A78" s="37" t="s">
        <v>213</v>
      </c>
      <c r="B78" s="222"/>
      <c r="C78" s="57" t="s">
        <v>122</v>
      </c>
      <c r="D78" s="53" t="s">
        <v>75</v>
      </c>
      <c r="E78" s="58">
        <f>20000-9000</f>
        <v>11000</v>
      </c>
      <c r="F78" s="93">
        <f t="shared" si="4"/>
        <v>11000</v>
      </c>
      <c r="G78" s="58"/>
      <c r="H78" s="58"/>
    </row>
    <row r="79" spans="1:8" ht="25.5" customHeight="1">
      <c r="A79" s="37" t="s">
        <v>214</v>
      </c>
      <c r="B79" s="222"/>
      <c r="C79" s="57" t="s">
        <v>404</v>
      </c>
      <c r="D79" s="53" t="s">
        <v>75</v>
      </c>
      <c r="E79" s="58">
        <v>25000</v>
      </c>
      <c r="F79" s="93">
        <f t="shared" si="4"/>
        <v>25000</v>
      </c>
      <c r="G79" s="58"/>
      <c r="H79" s="58"/>
    </row>
    <row r="80" spans="1:8" ht="12.75" customHeight="1">
      <c r="A80" s="37" t="s">
        <v>215</v>
      </c>
      <c r="B80" s="222"/>
      <c r="C80" s="57" t="s">
        <v>121</v>
      </c>
      <c r="D80" s="53" t="s">
        <v>75</v>
      </c>
      <c r="E80" s="58">
        <f>3000-600</f>
        <v>2400</v>
      </c>
      <c r="F80" s="93">
        <f t="shared" si="4"/>
        <v>2400</v>
      </c>
      <c r="G80" s="58"/>
      <c r="H80" s="58"/>
    </row>
    <row r="81" spans="1:8">
      <c r="A81" s="37" t="s">
        <v>216</v>
      </c>
      <c r="B81" s="222"/>
      <c r="C81" s="57" t="s">
        <v>273</v>
      </c>
      <c r="D81" s="53" t="s">
        <v>75</v>
      </c>
      <c r="E81" s="58">
        <f>55000-29900</f>
        <v>25100</v>
      </c>
      <c r="F81" s="93">
        <f t="shared" si="4"/>
        <v>25100</v>
      </c>
      <c r="G81" s="58"/>
      <c r="H81" s="58"/>
    </row>
    <row r="82" spans="1:8" ht="38.25">
      <c r="A82" s="37" t="s">
        <v>217</v>
      </c>
      <c r="B82" s="62" t="s">
        <v>19</v>
      </c>
      <c r="C82" s="22" t="s">
        <v>20</v>
      </c>
      <c r="D82" s="45"/>
      <c r="E82" s="82">
        <f>SUM(E83+E91+E92+E93)</f>
        <v>3263100</v>
      </c>
      <c r="F82" s="82">
        <f>SUM(F83+F91+F92+F93)</f>
        <v>2885200</v>
      </c>
      <c r="G82" s="82">
        <f>SUM(G83+G91+G92+G93)</f>
        <v>2127700</v>
      </c>
      <c r="H82" s="82">
        <f>SUM(H83+H91+H92+H93)</f>
        <v>377900</v>
      </c>
    </row>
    <row r="83" spans="1:8" ht="12.75" customHeight="1">
      <c r="A83" s="37" t="s">
        <v>218</v>
      </c>
      <c r="B83" s="220" t="s">
        <v>26</v>
      </c>
      <c r="C83" s="9" t="s">
        <v>69</v>
      </c>
      <c r="D83" s="45"/>
      <c r="E83" s="28">
        <f>SUM(E84:E90)</f>
        <v>2769400</v>
      </c>
      <c r="F83" s="28">
        <f>SUM(F84:F90)</f>
        <v>2709500</v>
      </c>
      <c r="G83" s="28">
        <f>SUM(G84:G90)</f>
        <v>2031600</v>
      </c>
      <c r="H83" s="28">
        <f>SUM(H84:H90)</f>
        <v>59900</v>
      </c>
    </row>
    <row r="84" spans="1:8" ht="12.75" customHeight="1">
      <c r="A84" s="37" t="s">
        <v>219</v>
      </c>
      <c r="B84" s="222"/>
      <c r="C84" s="55" t="s">
        <v>254</v>
      </c>
      <c r="D84" s="59" t="s">
        <v>10</v>
      </c>
      <c r="E84" s="54">
        <v>285200</v>
      </c>
      <c r="F84" s="93">
        <f t="shared" ref="F84:F93" si="5">E84-H84</f>
        <v>280300</v>
      </c>
      <c r="G84" s="61">
        <v>131400</v>
      </c>
      <c r="H84" s="61">
        <v>4900</v>
      </c>
    </row>
    <row r="85" spans="1:8" ht="25.5">
      <c r="A85" s="37" t="s">
        <v>220</v>
      </c>
      <c r="B85" s="222"/>
      <c r="C85" s="55" t="s">
        <v>18</v>
      </c>
      <c r="D85" s="53" t="s">
        <v>10</v>
      </c>
      <c r="E85" s="58">
        <v>2333100</v>
      </c>
      <c r="F85" s="97">
        <f t="shared" si="5"/>
        <v>2278100</v>
      </c>
      <c r="G85" s="84">
        <v>1900200</v>
      </c>
      <c r="H85" s="84">
        <v>55000</v>
      </c>
    </row>
    <row r="86" spans="1:8" ht="25.5">
      <c r="A86" s="37" t="s">
        <v>221</v>
      </c>
      <c r="B86" s="222"/>
      <c r="C86" s="55" t="s">
        <v>130</v>
      </c>
      <c r="D86" s="53" t="s">
        <v>54</v>
      </c>
      <c r="E86" s="58">
        <v>3000</v>
      </c>
      <c r="F86" s="97">
        <f t="shared" si="5"/>
        <v>3000</v>
      </c>
      <c r="G86" s="28"/>
      <c r="H86" s="28"/>
    </row>
    <row r="87" spans="1:8">
      <c r="A87" s="37" t="s">
        <v>222</v>
      </c>
      <c r="B87" s="222"/>
      <c r="C87" s="9" t="s">
        <v>131</v>
      </c>
      <c r="D87" s="59" t="s">
        <v>10</v>
      </c>
      <c r="E87" s="58">
        <v>10800</v>
      </c>
      <c r="F87" s="97">
        <f t="shared" si="5"/>
        <v>10800</v>
      </c>
      <c r="G87" s="28"/>
      <c r="H87" s="28"/>
    </row>
    <row r="88" spans="1:8">
      <c r="A88" s="37" t="s">
        <v>223</v>
      </c>
      <c r="B88" s="222"/>
      <c r="C88" s="55" t="s">
        <v>297</v>
      </c>
      <c r="D88" s="59" t="s">
        <v>10</v>
      </c>
      <c r="E88" s="58">
        <f>5000+20000+50000</f>
        <v>75000</v>
      </c>
      <c r="F88" s="97">
        <f t="shared" si="5"/>
        <v>75000</v>
      </c>
      <c r="G88" s="28"/>
      <c r="H88" s="28"/>
    </row>
    <row r="89" spans="1:8" ht="25.5" customHeight="1">
      <c r="A89" s="37" t="s">
        <v>224</v>
      </c>
      <c r="B89" s="222"/>
      <c r="C89" s="55" t="s">
        <v>419</v>
      </c>
      <c r="D89" s="53" t="s">
        <v>10</v>
      </c>
      <c r="E89" s="58">
        <f>20000-15000</f>
        <v>5000</v>
      </c>
      <c r="F89" s="97">
        <f t="shared" si="5"/>
        <v>5000</v>
      </c>
      <c r="G89" s="61"/>
      <c r="H89" s="61"/>
    </row>
    <row r="90" spans="1:8">
      <c r="A90" s="37" t="s">
        <v>225</v>
      </c>
      <c r="B90" s="222"/>
      <c r="C90" s="55" t="s">
        <v>274</v>
      </c>
      <c r="D90" s="53" t="s">
        <v>10</v>
      </c>
      <c r="E90" s="58">
        <f>291300-89400-144600</f>
        <v>57300</v>
      </c>
      <c r="F90" s="97">
        <f t="shared" si="5"/>
        <v>57300</v>
      </c>
      <c r="G90" s="84"/>
      <c r="H90" s="84"/>
    </row>
    <row r="91" spans="1:8" ht="12.75" customHeight="1">
      <c r="A91" s="37" t="s">
        <v>226</v>
      </c>
      <c r="B91" s="40" t="s">
        <v>27</v>
      </c>
      <c r="C91" s="9" t="s">
        <v>233</v>
      </c>
      <c r="D91" s="38" t="s">
        <v>10</v>
      </c>
      <c r="E91" s="25">
        <v>88800</v>
      </c>
      <c r="F91" s="41">
        <f t="shared" si="5"/>
        <v>88800</v>
      </c>
      <c r="G91" s="28">
        <v>84200</v>
      </c>
      <c r="H91" s="84"/>
    </row>
    <row r="92" spans="1:8" ht="25.5" customHeight="1">
      <c r="A92" s="37" t="s">
        <v>227</v>
      </c>
      <c r="B92" s="36" t="s">
        <v>67</v>
      </c>
      <c r="C92" s="9" t="s">
        <v>234</v>
      </c>
      <c r="D92" s="38" t="s">
        <v>10</v>
      </c>
      <c r="E92" s="25">
        <f>353200-20000</f>
        <v>333200</v>
      </c>
      <c r="F92" s="41">
        <f t="shared" si="5"/>
        <v>36700</v>
      </c>
      <c r="G92" s="29"/>
      <c r="H92" s="25">
        <v>296500</v>
      </c>
    </row>
    <row r="93" spans="1:8" ht="12.75" customHeight="1">
      <c r="A93" s="37" t="s">
        <v>240</v>
      </c>
      <c r="B93" s="36" t="s">
        <v>68</v>
      </c>
      <c r="C93" s="60" t="s">
        <v>21</v>
      </c>
      <c r="D93" s="38" t="s">
        <v>54</v>
      </c>
      <c r="E93" s="25">
        <v>71700</v>
      </c>
      <c r="F93" s="20">
        <f t="shared" si="5"/>
        <v>50200</v>
      </c>
      <c r="G93" s="28">
        <v>11900</v>
      </c>
      <c r="H93" s="25">
        <f>20000+1500</f>
        <v>21500</v>
      </c>
    </row>
    <row r="94" spans="1:8" ht="24.75" customHeight="1">
      <c r="A94" s="37" t="s">
        <v>228</v>
      </c>
      <c r="B94" s="31" t="s">
        <v>22</v>
      </c>
      <c r="C94" s="49" t="s">
        <v>112</v>
      </c>
      <c r="D94" s="30"/>
      <c r="E94" s="30">
        <f>SUM(E95)</f>
        <v>1187400</v>
      </c>
      <c r="F94" s="30">
        <f>SUM(F95)</f>
        <v>1100900</v>
      </c>
      <c r="G94" s="30">
        <f>SUM(G95)</f>
        <v>0</v>
      </c>
      <c r="H94" s="30">
        <f>SUM(H95)</f>
        <v>86500</v>
      </c>
    </row>
    <row r="95" spans="1:8" ht="12.75" customHeight="1">
      <c r="A95" s="37" t="s">
        <v>241</v>
      </c>
      <c r="B95" s="220" t="s">
        <v>28</v>
      </c>
      <c r="C95" s="9" t="s">
        <v>69</v>
      </c>
      <c r="D95" s="45"/>
      <c r="E95" s="25">
        <f>SUM(E96:E104)</f>
        <v>1187400</v>
      </c>
      <c r="F95" s="41">
        <f t="shared" ref="F95:F104" si="6">E95-H95</f>
        <v>1100900</v>
      </c>
      <c r="G95" s="25">
        <f>SUM(G96:G104)</f>
        <v>0</v>
      </c>
      <c r="H95" s="25">
        <f>SUM(H96:H104)</f>
        <v>86500</v>
      </c>
    </row>
    <row r="96" spans="1:8" ht="12.75" customHeight="1">
      <c r="A96" s="37" t="s">
        <v>250</v>
      </c>
      <c r="B96" s="222"/>
      <c r="C96" s="55" t="s">
        <v>275</v>
      </c>
      <c r="D96" s="53" t="s">
        <v>22</v>
      </c>
      <c r="E96" s="58">
        <f>144000+39300-24700</f>
        <v>158600</v>
      </c>
      <c r="F96" s="97">
        <f t="shared" si="6"/>
        <v>95100</v>
      </c>
      <c r="G96" s="25"/>
      <c r="H96" s="25">
        <f>3000+60500</f>
        <v>63500</v>
      </c>
    </row>
    <row r="97" spans="1:12" ht="25.5">
      <c r="A97" s="37" t="s">
        <v>251</v>
      </c>
      <c r="B97" s="222"/>
      <c r="C97" s="55" t="s">
        <v>276</v>
      </c>
      <c r="D97" s="53" t="s">
        <v>22</v>
      </c>
      <c r="E97" s="58">
        <f>900000+5100</f>
        <v>905100</v>
      </c>
      <c r="F97" s="97">
        <f t="shared" si="6"/>
        <v>905100</v>
      </c>
      <c r="G97" s="25"/>
      <c r="H97" s="29"/>
    </row>
    <row r="98" spans="1:12">
      <c r="A98" s="37" t="s">
        <v>252</v>
      </c>
      <c r="B98" s="222"/>
      <c r="C98" s="55" t="s">
        <v>362</v>
      </c>
      <c r="D98" s="53" t="s">
        <v>22</v>
      </c>
      <c r="E98" s="58">
        <f>50000-6000</f>
        <v>44000</v>
      </c>
      <c r="F98" s="97">
        <f t="shared" si="6"/>
        <v>44000</v>
      </c>
      <c r="G98" s="25"/>
      <c r="H98" s="26"/>
    </row>
    <row r="99" spans="1:12" ht="25.5">
      <c r="A99" s="37" t="s">
        <v>277</v>
      </c>
      <c r="B99" s="221"/>
      <c r="C99" s="55" t="s">
        <v>129</v>
      </c>
      <c r="D99" s="53" t="s">
        <v>22</v>
      </c>
      <c r="E99" s="58">
        <v>55000</v>
      </c>
      <c r="F99" s="97">
        <f t="shared" si="6"/>
        <v>55000</v>
      </c>
      <c r="G99" s="25"/>
      <c r="H99" s="26"/>
    </row>
    <row r="100" spans="1:12">
      <c r="A100" s="37" t="s">
        <v>278</v>
      </c>
      <c r="B100" s="213"/>
      <c r="C100" s="9" t="s">
        <v>82</v>
      </c>
      <c r="D100" s="38" t="s">
        <v>22</v>
      </c>
      <c r="E100" s="28">
        <v>500</v>
      </c>
      <c r="F100" s="41">
        <f t="shared" si="6"/>
        <v>500</v>
      </c>
      <c r="G100" s="25"/>
      <c r="H100" s="26"/>
    </row>
    <row r="101" spans="1:12">
      <c r="A101" s="37" t="s">
        <v>279</v>
      </c>
      <c r="B101" s="213"/>
      <c r="C101" s="9" t="s">
        <v>119</v>
      </c>
      <c r="D101" s="38" t="s">
        <v>22</v>
      </c>
      <c r="E101" s="28">
        <v>700</v>
      </c>
      <c r="F101" s="41">
        <f t="shared" si="6"/>
        <v>700</v>
      </c>
      <c r="G101" s="25"/>
      <c r="H101" s="26"/>
    </row>
    <row r="102" spans="1:12" ht="12.75" customHeight="1">
      <c r="A102" s="37" t="s">
        <v>280</v>
      </c>
      <c r="B102" s="213"/>
      <c r="C102" s="9" t="s">
        <v>231</v>
      </c>
      <c r="D102" s="38" t="s">
        <v>22</v>
      </c>
      <c r="E102" s="28">
        <v>500</v>
      </c>
      <c r="F102" s="41">
        <f t="shared" si="6"/>
        <v>500</v>
      </c>
      <c r="G102" s="25"/>
      <c r="H102" s="26"/>
    </row>
    <row r="103" spans="1:12">
      <c r="A103" s="37" t="s">
        <v>281</v>
      </c>
      <c r="B103" s="213"/>
      <c r="C103" s="18" t="s">
        <v>14</v>
      </c>
      <c r="D103" s="38" t="s">
        <v>22</v>
      </c>
      <c r="E103" s="28">
        <v>5000</v>
      </c>
      <c r="F103" s="41">
        <f t="shared" si="6"/>
        <v>0</v>
      </c>
      <c r="G103" s="25"/>
      <c r="H103" s="25">
        <v>5000</v>
      </c>
    </row>
    <row r="104" spans="1:12" ht="25.5">
      <c r="A104" s="37" t="s">
        <v>282</v>
      </c>
      <c r="B104" s="213"/>
      <c r="C104" s="18" t="s">
        <v>244</v>
      </c>
      <c r="D104" s="38" t="s">
        <v>22</v>
      </c>
      <c r="E104" s="28">
        <v>18000</v>
      </c>
      <c r="F104" s="41">
        <f t="shared" si="6"/>
        <v>0</v>
      </c>
      <c r="G104" s="25"/>
      <c r="H104" s="25">
        <v>18000</v>
      </c>
      <c r="L104" s="47"/>
    </row>
    <row r="105" spans="1:12" ht="25.5">
      <c r="A105" s="37" t="s">
        <v>367</v>
      </c>
      <c r="B105" s="62" t="s">
        <v>76</v>
      </c>
      <c r="C105" s="22" t="s">
        <v>235</v>
      </c>
      <c r="D105" s="64"/>
      <c r="E105" s="63">
        <f>SUM(E106)</f>
        <v>2030300</v>
      </c>
      <c r="F105" s="63">
        <f>SUM(F106)</f>
        <v>1389400</v>
      </c>
      <c r="G105" s="63">
        <f>SUM(G106)</f>
        <v>117700</v>
      </c>
      <c r="H105" s="63">
        <f>SUM(H106)</f>
        <v>640900</v>
      </c>
    </row>
    <row r="106" spans="1:12" ht="12.75" customHeight="1">
      <c r="A106" s="37" t="s">
        <v>284</v>
      </c>
      <c r="B106" s="220" t="s">
        <v>81</v>
      </c>
      <c r="C106" s="9" t="s">
        <v>69</v>
      </c>
      <c r="D106" s="65"/>
      <c r="E106" s="25">
        <f>SUM(E107:E114)</f>
        <v>2030300</v>
      </c>
      <c r="F106" s="25">
        <f>SUM(F107:F114)</f>
        <v>1389400</v>
      </c>
      <c r="G106" s="25">
        <f>SUM(G107:G114)</f>
        <v>117700</v>
      </c>
      <c r="H106" s="25">
        <f>SUM(H107:H114)</f>
        <v>640900</v>
      </c>
    </row>
    <row r="107" spans="1:12">
      <c r="A107" s="37" t="s">
        <v>286</v>
      </c>
      <c r="B107" s="222"/>
      <c r="C107" s="55" t="s">
        <v>123</v>
      </c>
      <c r="D107" s="83" t="s">
        <v>10</v>
      </c>
      <c r="E107" s="122">
        <v>25000</v>
      </c>
      <c r="F107" s="97">
        <f t="shared" ref="F107:F116" si="7">E107-H107</f>
        <v>25000</v>
      </c>
      <c r="G107" s="84"/>
      <c r="H107" s="85"/>
    </row>
    <row r="108" spans="1:12">
      <c r="A108" s="37" t="s">
        <v>366</v>
      </c>
      <c r="B108" s="222"/>
      <c r="C108" s="55" t="s">
        <v>128</v>
      </c>
      <c r="D108" s="96" t="s">
        <v>10</v>
      </c>
      <c r="E108" s="123">
        <f>40000+8800</f>
        <v>48800</v>
      </c>
      <c r="F108" s="93">
        <f t="shared" si="7"/>
        <v>28800</v>
      </c>
      <c r="G108" s="61"/>
      <c r="H108" s="61">
        <v>20000</v>
      </c>
    </row>
    <row r="109" spans="1:12" ht="25.5">
      <c r="A109" s="37" t="s">
        <v>394</v>
      </c>
      <c r="B109" s="222"/>
      <c r="C109" s="55" t="s">
        <v>361</v>
      </c>
      <c r="D109" s="83" t="s">
        <v>10</v>
      </c>
      <c r="E109" s="122">
        <f>350000-15000</f>
        <v>335000</v>
      </c>
      <c r="F109" s="97">
        <f t="shared" si="7"/>
        <v>145000</v>
      </c>
      <c r="G109" s="61"/>
      <c r="H109" s="84">
        <v>190000</v>
      </c>
    </row>
    <row r="110" spans="1:12">
      <c r="A110" s="37" t="s">
        <v>395</v>
      </c>
      <c r="B110" s="222"/>
      <c r="C110" s="55" t="s">
        <v>283</v>
      </c>
      <c r="D110" s="83" t="s">
        <v>76</v>
      </c>
      <c r="E110" s="58">
        <v>13600</v>
      </c>
      <c r="F110" s="97">
        <f t="shared" si="7"/>
        <v>10600</v>
      </c>
      <c r="G110" s="61"/>
      <c r="H110" s="61">
        <v>3000</v>
      </c>
    </row>
    <row r="111" spans="1:12" ht="12.75" customHeight="1">
      <c r="A111" s="37" t="s">
        <v>396</v>
      </c>
      <c r="B111" s="222"/>
      <c r="C111" s="55" t="s">
        <v>124</v>
      </c>
      <c r="D111" s="83" t="s">
        <v>76</v>
      </c>
      <c r="E111" s="58">
        <f>50000+46300</f>
        <v>96300</v>
      </c>
      <c r="F111" s="97">
        <f t="shared" si="7"/>
        <v>50000</v>
      </c>
      <c r="G111" s="61"/>
      <c r="H111" s="84">
        <v>46300</v>
      </c>
    </row>
    <row r="112" spans="1:12" ht="25.5" customHeight="1">
      <c r="A112" s="37" t="s">
        <v>410</v>
      </c>
      <c r="B112" s="222"/>
      <c r="C112" s="55" t="s">
        <v>416</v>
      </c>
      <c r="D112" s="83" t="s">
        <v>76</v>
      </c>
      <c r="E112" s="58">
        <f>200000</f>
        <v>200000</v>
      </c>
      <c r="F112" s="97">
        <f t="shared" si="7"/>
        <v>120000</v>
      </c>
      <c r="G112" s="61"/>
      <c r="H112" s="84">
        <f>130000-50000</f>
        <v>80000</v>
      </c>
    </row>
    <row r="113" spans="1:8" ht="25.5" customHeight="1">
      <c r="A113" s="37" t="s">
        <v>411</v>
      </c>
      <c r="B113" s="222"/>
      <c r="C113" s="55" t="s">
        <v>285</v>
      </c>
      <c r="D113" s="83" t="s">
        <v>76</v>
      </c>
      <c r="E113" s="58">
        <f>1085600-8000</f>
        <v>1077600</v>
      </c>
      <c r="F113" s="97">
        <f>E113-H113</f>
        <v>776000</v>
      </c>
      <c r="G113" s="84">
        <v>117700</v>
      </c>
      <c r="H113" s="84">
        <f>300000+1600</f>
        <v>301600</v>
      </c>
    </row>
    <row r="114" spans="1:8" ht="25.5">
      <c r="A114" s="37" t="s">
        <v>420</v>
      </c>
      <c r="B114" s="222"/>
      <c r="C114" s="55" t="s">
        <v>414</v>
      </c>
      <c r="D114" s="83" t="s">
        <v>76</v>
      </c>
      <c r="E114" s="58">
        <f>89400+144600</f>
        <v>234000</v>
      </c>
      <c r="F114" s="97">
        <f t="shared" si="7"/>
        <v>234000</v>
      </c>
      <c r="G114" s="84"/>
      <c r="H114" s="84"/>
    </row>
    <row r="115" spans="1:8">
      <c r="A115" s="37" t="s">
        <v>421</v>
      </c>
      <c r="B115" s="62" t="s">
        <v>77</v>
      </c>
      <c r="C115" s="22" t="s">
        <v>79</v>
      </c>
      <c r="D115" s="64"/>
      <c r="E115" s="63">
        <f>SUM(E116+E117+E118)</f>
        <v>1005500</v>
      </c>
      <c r="F115" s="63">
        <f>SUM(F116+F117+F118)</f>
        <v>53000</v>
      </c>
      <c r="G115" s="63">
        <f>SUM(G116+G117+G118)</f>
        <v>200</v>
      </c>
      <c r="H115" s="63">
        <f>SUM(H116+H117+H118)</f>
        <v>952500</v>
      </c>
    </row>
    <row r="116" spans="1:8">
      <c r="A116" s="37" t="s">
        <v>422</v>
      </c>
      <c r="B116" s="40" t="s">
        <v>80</v>
      </c>
      <c r="C116" s="9" t="s">
        <v>78</v>
      </c>
      <c r="D116" s="65" t="s">
        <v>77</v>
      </c>
      <c r="E116" s="21">
        <f>1014300-49000+6000</f>
        <v>971300</v>
      </c>
      <c r="F116" s="41">
        <f t="shared" si="7"/>
        <v>53000</v>
      </c>
      <c r="G116" s="124">
        <f>2100-400-1600+100</f>
        <v>200</v>
      </c>
      <c r="H116" s="125">
        <f>1002600-49000-14000-100-6200-1600-12700-700</f>
        <v>918300</v>
      </c>
    </row>
    <row r="117" spans="1:8">
      <c r="A117" s="37" t="s">
        <v>423</v>
      </c>
      <c r="B117" s="206" t="s">
        <v>408</v>
      </c>
      <c r="C117" s="9" t="s">
        <v>232</v>
      </c>
      <c r="D117" s="65" t="s">
        <v>77</v>
      </c>
      <c r="E117" s="21">
        <f>20000-14800</f>
        <v>5200</v>
      </c>
      <c r="F117" s="208">
        <f>E117-H117</f>
        <v>0</v>
      </c>
      <c r="G117" s="125"/>
      <c r="H117" s="207">
        <f>20000-14800</f>
        <v>5200</v>
      </c>
    </row>
    <row r="118" spans="1:8">
      <c r="A118" s="37" t="s">
        <v>424</v>
      </c>
      <c r="B118" s="206" t="s">
        <v>409</v>
      </c>
      <c r="C118" s="9" t="s">
        <v>57</v>
      </c>
      <c r="D118" s="65" t="s">
        <v>77</v>
      </c>
      <c r="E118" s="21">
        <v>29000</v>
      </c>
      <c r="F118" s="208">
        <f>E118-H118</f>
        <v>0</v>
      </c>
      <c r="G118" s="125"/>
      <c r="H118" s="207">
        <v>29000</v>
      </c>
    </row>
    <row r="119" spans="1:8">
      <c r="A119" s="7" t="s">
        <v>425</v>
      </c>
      <c r="B119" s="13"/>
      <c r="C119" s="106" t="s">
        <v>134</v>
      </c>
      <c r="D119" s="15"/>
      <c r="E119" s="27">
        <f>E115+E105+E94+E82+E64+E45+E18</f>
        <v>17452300</v>
      </c>
      <c r="F119" s="27">
        <f>F115+F105+F94+F82+F64+F45+F18</f>
        <v>15252500</v>
      </c>
      <c r="G119" s="27">
        <f>G115+G105+G94+G82+G64+G45+G18</f>
        <v>8519300</v>
      </c>
      <c r="H119" s="27">
        <f>H115+H105+H94+H82+H64+H45+H18</f>
        <v>2199800</v>
      </c>
    </row>
    <row r="120" spans="1:8">
      <c r="A120" s="69"/>
      <c r="B120" s="70"/>
      <c r="C120" s="71"/>
      <c r="D120" s="72"/>
      <c r="E120" s="73"/>
      <c r="F120" s="73"/>
      <c r="G120" s="73"/>
      <c r="H120" s="73"/>
    </row>
    <row r="121" spans="1:8">
      <c r="A121" s="242" t="s">
        <v>49</v>
      </c>
      <c r="B121" s="242"/>
      <c r="C121" s="242"/>
      <c r="D121" s="242"/>
      <c r="E121" s="242"/>
      <c r="F121" s="242"/>
      <c r="G121" s="242"/>
      <c r="H121" s="242"/>
    </row>
    <row r="124" spans="1:8">
      <c r="E124" t="s">
        <v>239</v>
      </c>
    </row>
  </sheetData>
  <mergeCells count="24">
    <mergeCell ref="A121:H121"/>
    <mergeCell ref="B39:B44"/>
    <mergeCell ref="B50:B63"/>
    <mergeCell ref="B72:B81"/>
    <mergeCell ref="B83:B90"/>
    <mergeCell ref="B106:B114"/>
    <mergeCell ref="B95:B99"/>
    <mergeCell ref="F1:H1"/>
    <mergeCell ref="F3:H3"/>
    <mergeCell ref="A8:H10"/>
    <mergeCell ref="F7:H7"/>
    <mergeCell ref="F14:H14"/>
    <mergeCell ref="F2:H2"/>
    <mergeCell ref="F4:H4"/>
    <mergeCell ref="F5:H5"/>
    <mergeCell ref="F6:H6"/>
    <mergeCell ref="H15:H16"/>
    <mergeCell ref="C13:C16"/>
    <mergeCell ref="F15:G15"/>
    <mergeCell ref="E13:H13"/>
    <mergeCell ref="E14:E16"/>
    <mergeCell ref="A13:A16"/>
    <mergeCell ref="D13:D16"/>
    <mergeCell ref="B13:B16"/>
  </mergeCells>
  <phoneticPr fontId="5" type="noConversion"/>
  <pageMargins left="0.78740157480314965" right="0.19685039370078741" top="0.39370078740157483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5"/>
  <sheetViews>
    <sheetView zoomScale="135" zoomScaleNormal="135" workbookViewId="0">
      <selection activeCell="F7" sqref="F7:H7"/>
    </sheetView>
  </sheetViews>
  <sheetFormatPr defaultRowHeight="12.75"/>
  <cols>
    <col min="1" max="1" width="4" customWidth="1"/>
    <col min="2" max="2" width="10.140625" customWidth="1"/>
    <col min="3" max="3" width="30.28515625" customWidth="1"/>
    <col min="4" max="4" width="8.85546875" customWidth="1"/>
    <col min="5" max="6" width="8.42578125" customWidth="1"/>
    <col min="7" max="7" width="10.7109375" customWidth="1"/>
    <col min="8" max="8" width="10.140625" customWidth="1"/>
  </cols>
  <sheetData>
    <row r="1" spans="1:9" ht="14.1" customHeight="1">
      <c r="A1" s="3"/>
      <c r="B1" s="3"/>
      <c r="C1" s="3"/>
      <c r="D1" s="35"/>
      <c r="E1" s="35"/>
      <c r="F1" s="226" t="s">
        <v>7</v>
      </c>
      <c r="G1" s="226"/>
      <c r="H1" s="226"/>
    </row>
    <row r="2" spans="1:9" ht="14.1" customHeight="1">
      <c r="A2" s="3"/>
      <c r="B2" s="3"/>
      <c r="C2" s="3"/>
      <c r="D2" s="34"/>
      <c r="E2" s="35"/>
      <c r="F2" s="226" t="s">
        <v>382</v>
      </c>
      <c r="G2" s="226"/>
      <c r="H2" s="226"/>
      <c r="I2" s="35"/>
    </row>
    <row r="3" spans="1:9" ht="14.1" customHeight="1">
      <c r="A3" s="1"/>
      <c r="B3" s="2"/>
      <c r="C3" s="3"/>
      <c r="D3" s="35"/>
      <c r="E3" s="35"/>
      <c r="F3" s="226" t="s">
        <v>406</v>
      </c>
      <c r="G3" s="226"/>
      <c r="H3" s="226"/>
    </row>
    <row r="4" spans="1:9" ht="14.1" customHeight="1">
      <c r="A4" s="1"/>
      <c r="B4" s="2"/>
      <c r="C4" s="3"/>
      <c r="D4" s="35"/>
      <c r="E4" s="35"/>
      <c r="F4" s="227" t="s">
        <v>138</v>
      </c>
      <c r="G4" s="227"/>
      <c r="H4" s="227"/>
    </row>
    <row r="5" spans="1:9" ht="14.1" customHeight="1">
      <c r="A5" s="1"/>
      <c r="B5" s="2"/>
      <c r="C5" s="3"/>
      <c r="D5" s="35"/>
      <c r="E5" s="35"/>
      <c r="F5" s="227" t="s">
        <v>407</v>
      </c>
      <c r="G5" s="227"/>
      <c r="H5" s="227"/>
    </row>
    <row r="6" spans="1:9" ht="14.1" customHeight="1">
      <c r="A6" s="1"/>
      <c r="B6" s="2"/>
      <c r="C6" s="3"/>
      <c r="D6" s="35"/>
      <c r="E6" s="35"/>
      <c r="F6" s="227" t="s">
        <v>433</v>
      </c>
      <c r="G6" s="227"/>
      <c r="H6" s="227"/>
    </row>
    <row r="7" spans="1:9" ht="15" customHeight="1">
      <c r="A7" s="1"/>
      <c r="B7" s="2"/>
      <c r="C7" s="16"/>
      <c r="D7" s="16"/>
      <c r="E7" s="16"/>
      <c r="F7" s="227" t="s">
        <v>435</v>
      </c>
      <c r="G7" s="227"/>
      <c r="H7" s="227"/>
    </row>
    <row r="8" spans="1:9">
      <c r="A8" s="1"/>
      <c r="B8" s="2"/>
      <c r="C8" s="3"/>
      <c r="D8" s="43"/>
      <c r="E8" s="16"/>
      <c r="F8" s="16"/>
      <c r="G8" s="16"/>
      <c r="H8" s="16"/>
    </row>
    <row r="9" spans="1:9" ht="12.75" customHeight="1">
      <c r="A9" s="231" t="s">
        <v>402</v>
      </c>
      <c r="B9" s="231"/>
      <c r="C9" s="231"/>
      <c r="D9" s="231"/>
      <c r="E9" s="231"/>
      <c r="F9" s="231"/>
      <c r="G9" s="231"/>
      <c r="H9" s="231"/>
      <c r="I9" s="48"/>
    </row>
    <row r="10" spans="1:9" ht="12.75" customHeight="1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1"/>
      <c r="B11" s="2"/>
      <c r="C11" s="3"/>
      <c r="D11" s="43"/>
      <c r="E11" s="108"/>
      <c r="F11" s="108"/>
      <c r="G11" s="108"/>
      <c r="H11" s="107" t="s">
        <v>260</v>
      </c>
    </row>
    <row r="12" spans="1:9" ht="12.75" customHeight="1">
      <c r="A12" s="228" t="s">
        <v>0</v>
      </c>
      <c r="B12" s="232" t="s">
        <v>1</v>
      </c>
      <c r="C12" s="228" t="s">
        <v>50</v>
      </c>
      <c r="D12" s="223" t="s">
        <v>2</v>
      </c>
      <c r="E12" s="236" t="s">
        <v>65</v>
      </c>
      <c r="F12" s="237"/>
      <c r="G12" s="237"/>
      <c r="H12" s="238"/>
    </row>
    <row r="13" spans="1:9">
      <c r="A13" s="229"/>
      <c r="B13" s="233"/>
      <c r="C13" s="229"/>
      <c r="D13" s="224"/>
      <c r="E13" s="228" t="s">
        <v>3</v>
      </c>
      <c r="F13" s="244" t="s">
        <v>4</v>
      </c>
      <c r="G13" s="244"/>
      <c r="H13" s="245"/>
    </row>
    <row r="14" spans="1:9" ht="12.75" customHeight="1">
      <c r="A14" s="229"/>
      <c r="B14" s="233"/>
      <c r="C14" s="229"/>
      <c r="D14" s="224"/>
      <c r="E14" s="229"/>
      <c r="F14" s="246" t="s">
        <v>125</v>
      </c>
      <c r="G14" s="246"/>
      <c r="H14" s="228" t="s">
        <v>51</v>
      </c>
    </row>
    <row r="15" spans="1:9" ht="25.5" customHeight="1">
      <c r="A15" s="230"/>
      <c r="B15" s="234"/>
      <c r="C15" s="230"/>
      <c r="D15" s="225"/>
      <c r="E15" s="230"/>
      <c r="F15" s="90" t="s">
        <v>126</v>
      </c>
      <c r="G15" s="92" t="s">
        <v>8</v>
      </c>
      <c r="H15" s="230"/>
    </row>
    <row r="16" spans="1:9">
      <c r="A16" s="5">
        <v>1</v>
      </c>
      <c r="B16" s="6" t="s">
        <v>5</v>
      </c>
      <c r="C16" s="4">
        <v>3</v>
      </c>
      <c r="D16" s="6" t="s">
        <v>6</v>
      </c>
      <c r="E16" s="4">
        <v>5</v>
      </c>
      <c r="F16" s="4">
        <v>6</v>
      </c>
      <c r="G16" s="4">
        <v>7</v>
      </c>
      <c r="H16" s="4">
        <v>8</v>
      </c>
    </row>
    <row r="17" spans="1:8" ht="27" customHeight="1">
      <c r="A17" s="37" t="s">
        <v>84</v>
      </c>
      <c r="B17" s="86" t="s">
        <v>10</v>
      </c>
      <c r="C17" s="17" t="s">
        <v>11</v>
      </c>
      <c r="D17" s="12"/>
      <c r="E17" s="81">
        <f>SUM(E18:E20)</f>
        <v>119000</v>
      </c>
      <c r="F17" s="81">
        <f>SUM(F18:F20)</f>
        <v>113500</v>
      </c>
      <c r="G17" s="81">
        <f>SUM(G18:G20)</f>
        <v>1400</v>
      </c>
      <c r="H17" s="81">
        <f>SUM(H18:H20)</f>
        <v>5500</v>
      </c>
    </row>
    <row r="18" spans="1:8" ht="27" customHeight="1">
      <c r="A18" s="37" t="s">
        <v>85</v>
      </c>
      <c r="B18" s="42" t="s">
        <v>29</v>
      </c>
      <c r="C18" s="112" t="s">
        <v>18</v>
      </c>
      <c r="D18" s="42" t="s">
        <v>71</v>
      </c>
      <c r="E18" s="41">
        <f>10200+45000+46900</f>
        <v>102100</v>
      </c>
      <c r="F18" s="41">
        <f>E18-H18</f>
        <v>102100</v>
      </c>
      <c r="G18" s="41">
        <f>200+1200</f>
        <v>1400</v>
      </c>
      <c r="H18" s="41"/>
    </row>
    <row r="19" spans="1:8" ht="14.25" customHeight="1">
      <c r="A19" s="37" t="s">
        <v>86</v>
      </c>
      <c r="B19" s="42" t="s">
        <v>30</v>
      </c>
      <c r="C19" s="112" t="s">
        <v>74</v>
      </c>
      <c r="D19" s="42" t="s">
        <v>71</v>
      </c>
      <c r="E19" s="41">
        <v>1000</v>
      </c>
      <c r="F19" s="41">
        <f>E19-H19</f>
        <v>1000</v>
      </c>
      <c r="G19" s="41"/>
      <c r="H19" s="41"/>
    </row>
    <row r="20" spans="1:8" ht="14.25" customHeight="1">
      <c r="A20" s="37" t="s">
        <v>87</v>
      </c>
      <c r="B20" s="42" t="s">
        <v>31</v>
      </c>
      <c r="C20" s="112" t="s">
        <v>434</v>
      </c>
      <c r="D20" s="42" t="s">
        <v>71</v>
      </c>
      <c r="E20" s="41">
        <v>15900</v>
      </c>
      <c r="F20" s="41">
        <f>E20-H20</f>
        <v>10400</v>
      </c>
      <c r="G20" s="41"/>
      <c r="H20" s="41">
        <v>5500</v>
      </c>
    </row>
    <row r="21" spans="1:8" ht="26.25" customHeight="1">
      <c r="A21" s="37" t="s">
        <v>88</v>
      </c>
      <c r="B21" s="86" t="s">
        <v>77</v>
      </c>
      <c r="C21" s="211" t="s">
        <v>79</v>
      </c>
      <c r="D21" s="42"/>
      <c r="E21" s="81">
        <f>SUM(E22)</f>
        <v>2159700</v>
      </c>
      <c r="F21" s="81">
        <f>SUM(F22)</f>
        <v>175800</v>
      </c>
      <c r="G21" s="81">
        <f>SUM(G22)</f>
        <v>800</v>
      </c>
      <c r="H21" s="81">
        <f>SUM(H22)</f>
        <v>1983900</v>
      </c>
    </row>
    <row r="22" spans="1:8" ht="26.25" customHeight="1">
      <c r="A22" s="37" t="s">
        <v>89</v>
      </c>
      <c r="B22" s="42" t="s">
        <v>80</v>
      </c>
      <c r="C22" s="112" t="s">
        <v>18</v>
      </c>
      <c r="D22" s="42" t="s">
        <v>77</v>
      </c>
      <c r="E22" s="41">
        <f>401000+6800+389800+421500+521400+342900+76300</f>
        <v>2159700</v>
      </c>
      <c r="F22" s="41">
        <f>E22-H22</f>
        <v>175800</v>
      </c>
      <c r="G22" s="41">
        <f>1000-200</f>
        <v>800</v>
      </c>
      <c r="H22" s="41">
        <f>335600+6800+353800+401300+487400+339100+59900</f>
        <v>1983900</v>
      </c>
    </row>
    <row r="23" spans="1:8">
      <c r="A23" s="7" t="s">
        <v>90</v>
      </c>
      <c r="B23" s="13"/>
      <c r="C23" s="14" t="s">
        <v>134</v>
      </c>
      <c r="D23" s="15"/>
      <c r="E23" s="27">
        <f>E17+E21</f>
        <v>2278700</v>
      </c>
      <c r="F23" s="27">
        <f>F17+F21</f>
        <v>289300</v>
      </c>
      <c r="G23" s="27">
        <f>G17+G21</f>
        <v>2200</v>
      </c>
      <c r="H23" s="27">
        <f>H17+H21</f>
        <v>1989400</v>
      </c>
    </row>
    <row r="24" spans="1:8">
      <c r="A24" s="69"/>
      <c r="B24" s="70"/>
      <c r="C24" s="71"/>
      <c r="D24" s="72"/>
      <c r="E24" s="73"/>
      <c r="F24" s="73"/>
      <c r="G24" s="73"/>
      <c r="H24" s="73"/>
    </row>
    <row r="25" spans="1:8">
      <c r="A25" s="242" t="s">
        <v>49</v>
      </c>
      <c r="B25" s="242"/>
      <c r="C25" s="242"/>
      <c r="D25" s="242"/>
      <c r="E25" s="242"/>
      <c r="F25" s="242"/>
      <c r="G25" s="242"/>
      <c r="H25" s="242"/>
    </row>
  </sheetData>
  <mergeCells count="18">
    <mergeCell ref="A25:H25"/>
    <mergeCell ref="A9:H9"/>
    <mergeCell ref="A12:A15"/>
    <mergeCell ref="B12:B15"/>
    <mergeCell ref="C12:C15"/>
    <mergeCell ref="D12:D15"/>
    <mergeCell ref="E13:E15"/>
    <mergeCell ref="F13:H13"/>
    <mergeCell ref="F14:G14"/>
    <mergeCell ref="F5:H5"/>
    <mergeCell ref="F6:H6"/>
    <mergeCell ref="H14:H15"/>
    <mergeCell ref="F1:H1"/>
    <mergeCell ref="F2:H2"/>
    <mergeCell ref="F3:H3"/>
    <mergeCell ref="F7:H7"/>
    <mergeCell ref="F4:H4"/>
    <mergeCell ref="E12:H12"/>
  </mergeCells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34"/>
  <sheetViews>
    <sheetView tabSelected="1" zoomScale="135" zoomScaleNormal="135" workbookViewId="0">
      <selection activeCell="D7" sqref="D7:F7"/>
    </sheetView>
  </sheetViews>
  <sheetFormatPr defaultRowHeight="12.75"/>
  <cols>
    <col min="1" max="1" width="4" customWidth="1"/>
    <col min="2" max="2" width="46.85546875" customWidth="1"/>
    <col min="3" max="3" width="10.140625" customWidth="1"/>
    <col min="4" max="4" width="10" customWidth="1"/>
    <col min="5" max="5" width="11" customWidth="1"/>
    <col min="6" max="6" width="10.140625" customWidth="1"/>
  </cols>
  <sheetData>
    <row r="1" spans="1:7" ht="14.1" customHeight="1">
      <c r="A1" s="3"/>
      <c r="B1" s="3"/>
      <c r="C1" s="35"/>
      <c r="D1" s="226" t="s">
        <v>7</v>
      </c>
      <c r="E1" s="226"/>
      <c r="F1" s="226"/>
    </row>
    <row r="2" spans="1:7" ht="14.1" customHeight="1">
      <c r="A2" s="3"/>
      <c r="B2" s="3"/>
      <c r="C2" s="35"/>
      <c r="D2" s="226" t="s">
        <v>382</v>
      </c>
      <c r="E2" s="226"/>
      <c r="F2" s="226"/>
      <c r="G2" s="35"/>
    </row>
    <row r="3" spans="1:7" ht="14.1" customHeight="1">
      <c r="A3" s="1"/>
      <c r="B3" s="3"/>
      <c r="C3" s="35"/>
      <c r="D3" s="226" t="s">
        <v>405</v>
      </c>
      <c r="E3" s="226"/>
      <c r="F3" s="226"/>
    </row>
    <row r="4" spans="1:7" ht="14.1" customHeight="1">
      <c r="A4" s="1"/>
      <c r="B4" s="16"/>
      <c r="C4" s="16"/>
      <c r="D4" s="227" t="s">
        <v>135</v>
      </c>
      <c r="E4" s="227"/>
      <c r="F4" s="227"/>
    </row>
    <row r="5" spans="1:7" ht="14.1" customHeight="1">
      <c r="A5" s="1"/>
      <c r="B5" s="16"/>
      <c r="C5" s="16"/>
      <c r="D5" s="227" t="s">
        <v>407</v>
      </c>
      <c r="E5" s="227"/>
      <c r="F5" s="227"/>
    </row>
    <row r="6" spans="1:7" ht="14.1" customHeight="1">
      <c r="A6" s="1"/>
      <c r="B6" s="16"/>
      <c r="C6" s="16"/>
      <c r="D6" s="227" t="s">
        <v>433</v>
      </c>
      <c r="E6" s="227"/>
      <c r="F6" s="227"/>
    </row>
    <row r="7" spans="1:7" ht="14.1" customHeight="1">
      <c r="A7" s="1"/>
      <c r="B7" s="16"/>
      <c r="C7" s="16"/>
      <c r="D7" s="227" t="s">
        <v>435</v>
      </c>
      <c r="E7" s="227"/>
      <c r="F7" s="227"/>
    </row>
    <row r="8" spans="1:7" ht="12.75" customHeight="1">
      <c r="A8" s="231" t="s">
        <v>403</v>
      </c>
      <c r="B8" s="231"/>
      <c r="C8" s="231"/>
      <c r="D8" s="231"/>
      <c r="E8" s="231"/>
      <c r="F8" s="231"/>
      <c r="G8" s="33"/>
    </row>
    <row r="9" spans="1:7" ht="12.75" customHeight="1">
      <c r="A9" s="231"/>
      <c r="B9" s="231"/>
      <c r="C9" s="231"/>
      <c r="D9" s="231"/>
      <c r="E9" s="231"/>
      <c r="F9" s="231"/>
      <c r="G9" s="33"/>
    </row>
    <row r="10" spans="1:7" ht="12.75" customHeight="1">
      <c r="A10" s="231"/>
      <c r="B10" s="231"/>
      <c r="C10" s="231"/>
      <c r="D10" s="231"/>
      <c r="E10" s="231"/>
      <c r="F10" s="231"/>
      <c r="G10" s="33"/>
    </row>
    <row r="11" spans="1:7">
      <c r="A11" s="1"/>
      <c r="B11" s="3"/>
      <c r="C11" s="271" t="s">
        <v>260</v>
      </c>
      <c r="D11" s="271"/>
      <c r="E11" s="271"/>
      <c r="F11" s="271"/>
    </row>
    <row r="12" spans="1:7" ht="12.75" customHeight="1">
      <c r="A12" s="228" t="s">
        <v>0</v>
      </c>
      <c r="B12" s="228" t="s">
        <v>117</v>
      </c>
      <c r="C12" s="273" t="s">
        <v>127</v>
      </c>
      <c r="D12" s="237"/>
      <c r="E12" s="237"/>
      <c r="F12" s="238"/>
    </row>
    <row r="13" spans="1:7">
      <c r="A13" s="229"/>
      <c r="B13" s="272"/>
      <c r="C13" s="228" t="s">
        <v>3</v>
      </c>
      <c r="D13" s="244" t="s">
        <v>4</v>
      </c>
      <c r="E13" s="244"/>
      <c r="F13" s="245"/>
    </row>
    <row r="14" spans="1:7" ht="12.75" customHeight="1">
      <c r="A14" s="229"/>
      <c r="B14" s="272"/>
      <c r="C14" s="229"/>
      <c r="D14" s="246" t="s">
        <v>125</v>
      </c>
      <c r="E14" s="246"/>
      <c r="F14" s="228" t="s">
        <v>51</v>
      </c>
    </row>
    <row r="15" spans="1:7" ht="25.5" customHeight="1">
      <c r="A15" s="229"/>
      <c r="B15" s="272"/>
      <c r="C15" s="230"/>
      <c r="D15" s="90" t="s">
        <v>126</v>
      </c>
      <c r="E15" s="92" t="s">
        <v>8</v>
      </c>
      <c r="F15" s="230"/>
    </row>
    <row r="16" spans="1:7">
      <c r="A16" s="5">
        <v>1</v>
      </c>
      <c r="B16" s="91">
        <v>2</v>
      </c>
      <c r="C16" s="92">
        <v>3</v>
      </c>
      <c r="D16" s="92">
        <v>4</v>
      </c>
      <c r="E16" s="92">
        <v>5</v>
      </c>
      <c r="F16" s="92">
        <v>6</v>
      </c>
    </row>
    <row r="17" spans="1:10">
      <c r="A17" s="101" t="s">
        <v>84</v>
      </c>
      <c r="B17" s="17" t="s">
        <v>12</v>
      </c>
      <c r="C17" s="126">
        <f>1100200+8600+12000+13700+2000+24600</f>
        <v>1161100</v>
      </c>
      <c r="D17" s="19">
        <f>C17-F17</f>
        <v>1134500</v>
      </c>
      <c r="E17" s="19">
        <f>954300-6000+20100</f>
        <v>968400</v>
      </c>
      <c r="F17" s="19">
        <f>13000+12000+1600</f>
        <v>26600</v>
      </c>
    </row>
    <row r="18" spans="1:10">
      <c r="A18" s="101" t="s">
        <v>85</v>
      </c>
      <c r="B18" s="17" t="s">
        <v>243</v>
      </c>
      <c r="C18" s="126">
        <f>799700+600+7800+3500+17300+15900</f>
        <v>844800</v>
      </c>
      <c r="D18" s="19">
        <f t="shared" ref="D18:D50" si="0">C18-F18</f>
        <v>834700</v>
      </c>
      <c r="E18" s="19">
        <f>646900+400+15500</f>
        <v>662800</v>
      </c>
      <c r="F18" s="19">
        <f>3000+1600+5500</f>
        <v>10100</v>
      </c>
      <c r="J18" s="47"/>
    </row>
    <row r="19" spans="1:10" ht="12.75" customHeight="1">
      <c r="A19" s="102" t="s">
        <v>86</v>
      </c>
      <c r="B19" s="17" t="s">
        <v>256</v>
      </c>
      <c r="C19" s="127">
        <f>885500+300+6300+500+16400</f>
        <v>909000</v>
      </c>
      <c r="D19" s="19">
        <f t="shared" si="0"/>
        <v>906800</v>
      </c>
      <c r="E19" s="81">
        <f>729400-1100+14800</f>
        <v>743100</v>
      </c>
      <c r="F19" s="81">
        <f>2000+200</f>
        <v>2200</v>
      </c>
    </row>
    <row r="20" spans="1:10" ht="12.75" customHeight="1">
      <c r="A20" s="102" t="s">
        <v>87</v>
      </c>
      <c r="B20" s="17" t="s">
        <v>244</v>
      </c>
      <c r="C20" s="127">
        <f>1013900+500+16400+18000+500+38400</f>
        <v>1087700</v>
      </c>
      <c r="D20" s="19">
        <f t="shared" si="0"/>
        <v>1064100</v>
      </c>
      <c r="E20" s="81">
        <f>819700-6400+34600</f>
        <v>847900</v>
      </c>
      <c r="F20" s="81">
        <f>5500+18000+100</f>
        <v>23600</v>
      </c>
    </row>
    <row r="21" spans="1:10" ht="12.75" customHeight="1">
      <c r="A21" s="102" t="s">
        <v>88</v>
      </c>
      <c r="B21" s="17" t="s">
        <v>257</v>
      </c>
      <c r="C21" s="81">
        <f>1422600+600+15000+9000+26800+61000+1100+4000+20400</f>
        <v>1560500</v>
      </c>
      <c r="D21" s="19">
        <f t="shared" si="0"/>
        <v>1545900</v>
      </c>
      <c r="E21" s="81">
        <f>1217700+7400+53300-17000+800+14600</f>
        <v>1276800</v>
      </c>
      <c r="F21" s="81">
        <f>9000+1600+4000</f>
        <v>14600</v>
      </c>
    </row>
    <row r="22" spans="1:10" ht="12.75" customHeight="1">
      <c r="A22" s="102" t="s">
        <v>89</v>
      </c>
      <c r="B22" s="17" t="s">
        <v>258</v>
      </c>
      <c r="C22" s="127">
        <f>1329400+5000+22800+2600+10300</f>
        <v>1370100</v>
      </c>
      <c r="D22" s="19">
        <f t="shared" si="0"/>
        <v>1360000</v>
      </c>
      <c r="E22" s="81">
        <f>1117600-7900+7200</f>
        <v>1116900</v>
      </c>
      <c r="F22" s="81">
        <f>3500+5000+1600</f>
        <v>10100</v>
      </c>
    </row>
    <row r="23" spans="1:10" ht="12.75" customHeight="1">
      <c r="A23" s="102" t="s">
        <v>90</v>
      </c>
      <c r="B23" s="17" t="s">
        <v>253</v>
      </c>
      <c r="C23" s="127">
        <f>655200+900+2000+300+12100</f>
        <v>670500</v>
      </c>
      <c r="D23" s="19">
        <f t="shared" si="0"/>
        <v>668500</v>
      </c>
      <c r="E23" s="81">
        <f>552400+200+10800</f>
        <v>563400</v>
      </c>
      <c r="F23" s="81">
        <v>2000</v>
      </c>
    </row>
    <row r="24" spans="1:10" ht="12.75" customHeight="1">
      <c r="A24" s="102" t="s">
        <v>91</v>
      </c>
      <c r="B24" s="17" t="s">
        <v>13</v>
      </c>
      <c r="C24" s="127">
        <f>610400+500+7400+900+21000</f>
        <v>640200</v>
      </c>
      <c r="D24" s="19">
        <f t="shared" si="0"/>
        <v>639300</v>
      </c>
      <c r="E24" s="81">
        <f>508000+400+19400</f>
        <v>527800</v>
      </c>
      <c r="F24" s="81">
        <v>900</v>
      </c>
    </row>
    <row r="25" spans="1:10" ht="12.75" customHeight="1">
      <c r="A25" s="102" t="s">
        <v>92</v>
      </c>
      <c r="B25" s="17" t="s">
        <v>245</v>
      </c>
      <c r="C25" s="127">
        <f>292500+1000+45000-61000</f>
        <v>277500</v>
      </c>
      <c r="D25" s="19">
        <f t="shared" si="0"/>
        <v>277500</v>
      </c>
      <c r="E25" s="81">
        <f>245800+58700+800-52800-37500-18700</f>
        <v>196300</v>
      </c>
      <c r="F25" s="81"/>
    </row>
    <row r="26" spans="1:10" ht="12.75" customHeight="1">
      <c r="A26" s="102" t="s">
        <v>93</v>
      </c>
      <c r="B26" s="17" t="s">
        <v>246</v>
      </c>
      <c r="C26" s="127">
        <f>512200+1000+7700+200-11500+8400</f>
        <v>518000</v>
      </c>
      <c r="D26" s="19">
        <f t="shared" si="0"/>
        <v>489600</v>
      </c>
      <c r="E26" s="81">
        <f>417900-2700-12100</f>
        <v>403100</v>
      </c>
      <c r="F26" s="81">
        <f>20000+8400</f>
        <v>28400</v>
      </c>
    </row>
    <row r="27" spans="1:10" ht="12.75" customHeight="1">
      <c r="A27" s="102" t="s">
        <v>94</v>
      </c>
      <c r="B27" s="17" t="s">
        <v>247</v>
      </c>
      <c r="C27" s="127">
        <f>632300+1100+1800+600+17000</f>
        <v>652800</v>
      </c>
      <c r="D27" s="19">
        <f t="shared" si="0"/>
        <v>652800</v>
      </c>
      <c r="E27" s="81">
        <f>533300+500+15400</f>
        <v>549200</v>
      </c>
      <c r="F27" s="81"/>
    </row>
    <row r="28" spans="1:10" ht="12.75" customHeight="1">
      <c r="A28" s="102" t="s">
        <v>95</v>
      </c>
      <c r="B28" s="17" t="s">
        <v>259</v>
      </c>
      <c r="C28" s="81">
        <f>395100+400+100-3500</f>
        <v>392100</v>
      </c>
      <c r="D28" s="19">
        <f t="shared" si="0"/>
        <v>391100</v>
      </c>
      <c r="E28" s="81">
        <f>341000-200+100-3800</f>
        <v>337100</v>
      </c>
      <c r="F28" s="81">
        <v>1000</v>
      </c>
    </row>
    <row r="29" spans="1:10" ht="12.75" customHeight="1">
      <c r="A29" s="102" t="s">
        <v>96</v>
      </c>
      <c r="B29" s="17" t="s">
        <v>14</v>
      </c>
      <c r="C29" s="126">
        <f>479900+5000+200+4000</f>
        <v>489100</v>
      </c>
      <c r="D29" s="19">
        <f t="shared" si="0"/>
        <v>480100</v>
      </c>
      <c r="E29" s="19">
        <f>362300+4200</f>
        <v>366500</v>
      </c>
      <c r="F29" s="19">
        <f>4000+5000</f>
        <v>9000</v>
      </c>
    </row>
    <row r="30" spans="1:10" ht="12.75" customHeight="1">
      <c r="A30" s="102" t="s">
        <v>97</v>
      </c>
      <c r="B30" s="17" t="s">
        <v>15</v>
      </c>
      <c r="C30" s="126">
        <f>722300+600+11700</f>
        <v>734600</v>
      </c>
      <c r="D30" s="19">
        <f t="shared" si="0"/>
        <v>734600</v>
      </c>
      <c r="E30" s="19">
        <f>597200+300+11800</f>
        <v>609300</v>
      </c>
      <c r="F30" s="19"/>
    </row>
    <row r="31" spans="1:10" ht="12.75" customHeight="1">
      <c r="A31" s="102" t="s">
        <v>98</v>
      </c>
      <c r="B31" s="17" t="s">
        <v>120</v>
      </c>
      <c r="C31" s="126">
        <f>414300+1000+4000+100+13100</f>
        <v>432500</v>
      </c>
      <c r="D31" s="19">
        <f t="shared" si="0"/>
        <v>432500</v>
      </c>
      <c r="E31" s="19">
        <f>333200+12700</f>
        <v>345900</v>
      </c>
      <c r="F31" s="19"/>
    </row>
    <row r="32" spans="1:10">
      <c r="A32" s="102" t="s">
        <v>99</v>
      </c>
      <c r="B32" s="17" t="s">
        <v>248</v>
      </c>
      <c r="C32" s="127">
        <f>177400+100+3100</f>
        <v>180600</v>
      </c>
      <c r="D32" s="19">
        <f t="shared" si="0"/>
        <v>180600</v>
      </c>
      <c r="E32" s="81">
        <f>166900+3100</f>
        <v>170000</v>
      </c>
      <c r="F32" s="81"/>
    </row>
    <row r="33" spans="1:11">
      <c r="A33" s="102" t="s">
        <v>100</v>
      </c>
      <c r="B33" s="17" t="s">
        <v>53</v>
      </c>
      <c r="C33" s="126">
        <f>417200+200+200+9100</f>
        <v>426700</v>
      </c>
      <c r="D33" s="19">
        <f t="shared" si="0"/>
        <v>425700</v>
      </c>
      <c r="E33" s="19">
        <f>396100-3800+9100</f>
        <v>401400</v>
      </c>
      <c r="F33" s="19">
        <v>1000</v>
      </c>
    </row>
    <row r="34" spans="1:11">
      <c r="A34" s="102" t="s">
        <v>101</v>
      </c>
      <c r="B34" s="17" t="s">
        <v>242</v>
      </c>
      <c r="C34" s="127">
        <f>197800+100+3700</f>
        <v>201600</v>
      </c>
      <c r="D34" s="19">
        <f t="shared" si="0"/>
        <v>201600</v>
      </c>
      <c r="E34" s="81">
        <f>184900-2300+3700</f>
        <v>186300</v>
      </c>
      <c r="F34" s="81"/>
    </row>
    <row r="35" spans="1:11" ht="12.75" customHeight="1">
      <c r="A35" s="102" t="s">
        <v>102</v>
      </c>
      <c r="B35" s="17" t="s">
        <v>66</v>
      </c>
      <c r="C35" s="127">
        <f>408000+6800+200</f>
        <v>415000</v>
      </c>
      <c r="D35" s="19">
        <f t="shared" si="0"/>
        <v>408400</v>
      </c>
      <c r="E35" s="81">
        <v>302400</v>
      </c>
      <c r="F35" s="81">
        <f>5000+1600</f>
        <v>6600</v>
      </c>
    </row>
    <row r="36" spans="1:11">
      <c r="A36" s="102" t="s">
        <v>103</v>
      </c>
      <c r="B36" s="17" t="s">
        <v>355</v>
      </c>
      <c r="C36" s="81">
        <f>202400+1000-100</f>
        <v>203300</v>
      </c>
      <c r="D36" s="19">
        <f t="shared" si="0"/>
        <v>203300</v>
      </c>
      <c r="E36" s="81">
        <f>173100+300-100</f>
        <v>173300</v>
      </c>
      <c r="F36" s="81"/>
    </row>
    <row r="37" spans="1:11" ht="12.75" customHeight="1">
      <c r="A37" s="102" t="s">
        <v>104</v>
      </c>
      <c r="B37" s="22" t="s">
        <v>55</v>
      </c>
      <c r="C37" s="94">
        <f>199000+5500+100</f>
        <v>204600</v>
      </c>
      <c r="D37" s="19">
        <f t="shared" si="0"/>
        <v>204600</v>
      </c>
      <c r="E37" s="27">
        <v>175900</v>
      </c>
      <c r="F37" s="27"/>
    </row>
    <row r="38" spans="1:11">
      <c r="A38" s="102" t="s">
        <v>105</v>
      </c>
      <c r="B38" s="22" t="s">
        <v>238</v>
      </c>
      <c r="C38" s="94">
        <f>606000+400</f>
        <v>606400</v>
      </c>
      <c r="D38" s="19">
        <f t="shared" si="0"/>
        <v>604400</v>
      </c>
      <c r="E38" s="27">
        <v>525700</v>
      </c>
      <c r="F38" s="27">
        <v>2000</v>
      </c>
    </row>
    <row r="39" spans="1:11" ht="12.75" customHeight="1">
      <c r="A39" s="102" t="s">
        <v>106</v>
      </c>
      <c r="B39" s="22" t="s">
        <v>74</v>
      </c>
      <c r="C39" s="95">
        <f>531600+3100</f>
        <v>534700</v>
      </c>
      <c r="D39" s="19">
        <f t="shared" si="0"/>
        <v>503700</v>
      </c>
      <c r="E39" s="82">
        <v>344000</v>
      </c>
      <c r="F39" s="82">
        <v>31000</v>
      </c>
    </row>
    <row r="40" spans="1:11" ht="12" customHeight="1">
      <c r="A40" s="102" t="s">
        <v>107</v>
      </c>
      <c r="B40" s="22" t="s">
        <v>133</v>
      </c>
      <c r="C40" s="95">
        <f>76700+100</f>
        <v>76800</v>
      </c>
      <c r="D40" s="19">
        <f t="shared" si="0"/>
        <v>76200</v>
      </c>
      <c r="E40" s="82">
        <v>65000</v>
      </c>
      <c r="F40" s="82">
        <v>600</v>
      </c>
    </row>
    <row r="41" spans="1:11" ht="12.75" customHeight="1">
      <c r="A41" s="102" t="s">
        <v>108</v>
      </c>
      <c r="B41" s="22" t="s">
        <v>56</v>
      </c>
      <c r="C41" s="95">
        <v>71200</v>
      </c>
      <c r="D41" s="19">
        <f t="shared" si="0"/>
        <v>71200</v>
      </c>
      <c r="E41" s="82">
        <v>59300</v>
      </c>
      <c r="F41" s="82"/>
    </row>
    <row r="42" spans="1:11">
      <c r="A42" s="102" t="s">
        <v>109</v>
      </c>
      <c r="B42" s="22" t="s">
        <v>232</v>
      </c>
      <c r="C42" s="95">
        <f>76000+20000+100-14800</f>
        <v>81300</v>
      </c>
      <c r="D42" s="19">
        <f t="shared" si="0"/>
        <v>76100</v>
      </c>
      <c r="E42" s="82">
        <v>60200</v>
      </c>
      <c r="F42" s="82">
        <f>20000-14800</f>
        <v>5200</v>
      </c>
    </row>
    <row r="43" spans="1:11">
      <c r="A43" s="102" t="s">
        <v>110</v>
      </c>
      <c r="B43" s="22" t="s">
        <v>57</v>
      </c>
      <c r="C43" s="95">
        <f>83200+29000+1500+2500</f>
        <v>116200</v>
      </c>
      <c r="D43" s="19">
        <f t="shared" si="0"/>
        <v>86600</v>
      </c>
      <c r="E43" s="82">
        <v>58900</v>
      </c>
      <c r="F43" s="82">
        <f>600+29000</f>
        <v>29600</v>
      </c>
    </row>
    <row r="44" spans="1:11">
      <c r="A44" s="102" t="s">
        <v>180</v>
      </c>
      <c r="B44" s="49" t="s">
        <v>231</v>
      </c>
      <c r="C44" s="95">
        <f>276500+500+13300+1200+300</f>
        <v>291800</v>
      </c>
      <c r="D44" s="19">
        <f t="shared" si="0"/>
        <v>291800</v>
      </c>
      <c r="E44" s="95">
        <f>197100+200-21000</f>
        <v>176300</v>
      </c>
      <c r="F44" s="95"/>
      <c r="K44" s="116"/>
    </row>
    <row r="45" spans="1:11" ht="12.75" customHeight="1">
      <c r="A45" s="102" t="s">
        <v>181</v>
      </c>
      <c r="B45" s="49" t="s">
        <v>233</v>
      </c>
      <c r="C45" s="95">
        <v>88800</v>
      </c>
      <c r="D45" s="19">
        <f t="shared" si="0"/>
        <v>88800</v>
      </c>
      <c r="E45" s="95">
        <v>84200</v>
      </c>
      <c r="F45" s="95"/>
    </row>
    <row r="46" spans="1:11" ht="12.75" customHeight="1">
      <c r="A46" s="102" t="s">
        <v>182</v>
      </c>
      <c r="B46" s="49" t="s">
        <v>237</v>
      </c>
      <c r="C46" s="95">
        <f>723900+200</f>
        <v>724100</v>
      </c>
      <c r="D46" s="19">
        <f t="shared" si="0"/>
        <v>702600</v>
      </c>
      <c r="E46" s="95">
        <f>626100-6000</f>
        <v>620100</v>
      </c>
      <c r="F46" s="95">
        <f>20000+1500</f>
        <v>21500</v>
      </c>
    </row>
    <row r="47" spans="1:11" ht="12.75" customHeight="1">
      <c r="A47" s="102" t="s">
        <v>183</v>
      </c>
      <c r="B47" s="49" t="s">
        <v>234</v>
      </c>
      <c r="C47" s="95">
        <f>353200-20000</f>
        <v>333200</v>
      </c>
      <c r="D47" s="19">
        <f t="shared" si="0"/>
        <v>36700</v>
      </c>
      <c r="E47" s="95"/>
      <c r="F47" s="95">
        <v>296500</v>
      </c>
    </row>
    <row r="48" spans="1:11" ht="12.75" customHeight="1">
      <c r="A48" s="102" t="s">
        <v>184</v>
      </c>
      <c r="B48" s="49" t="s">
        <v>119</v>
      </c>
      <c r="C48" s="95">
        <f>933800-200+19400+1000-41300+10800</f>
        <v>923500</v>
      </c>
      <c r="D48" s="19">
        <f t="shared" si="0"/>
        <v>923500</v>
      </c>
      <c r="E48" s="95">
        <f>866800-200+3600-41500</f>
        <v>828700</v>
      </c>
      <c r="F48" s="95"/>
    </row>
    <row r="49" spans="1:6" ht="12.75" customHeight="1">
      <c r="A49" s="102" t="s">
        <v>185</v>
      </c>
      <c r="B49" s="49" t="s">
        <v>368</v>
      </c>
      <c r="C49" s="95">
        <f>663100+4400+4800+4000</f>
        <v>676300</v>
      </c>
      <c r="D49" s="19">
        <f t="shared" si="0"/>
        <v>676300</v>
      </c>
      <c r="E49" s="95">
        <f>594100+400</f>
        <v>594500</v>
      </c>
      <c r="F49" s="95"/>
    </row>
    <row r="50" spans="1:6" ht="12.75" customHeight="1">
      <c r="A50" s="103" t="s">
        <v>186</v>
      </c>
      <c r="B50" s="49" t="s">
        <v>82</v>
      </c>
      <c r="C50" s="95">
        <f>1481500-400+4300+500+28200</f>
        <v>1514100</v>
      </c>
      <c r="D50" s="19">
        <f t="shared" si="0"/>
        <v>1482100</v>
      </c>
      <c r="E50" s="95">
        <f>962300-400+4300+16300</f>
        <v>982500</v>
      </c>
      <c r="F50" s="95">
        <v>32000</v>
      </c>
    </row>
    <row r="51" spans="1:6" ht="12.75" customHeight="1">
      <c r="A51" s="103" t="s">
        <v>187</v>
      </c>
      <c r="B51" s="49" t="s">
        <v>69</v>
      </c>
      <c r="C51" s="95">
        <v>19288600</v>
      </c>
      <c r="D51" s="95">
        <v>9802000</v>
      </c>
      <c r="E51" s="95">
        <v>2494500</v>
      </c>
      <c r="F51" s="95">
        <v>9486600</v>
      </c>
    </row>
    <row r="52" spans="1:6">
      <c r="A52" s="102" t="s">
        <v>188</v>
      </c>
      <c r="B52" s="129" t="s">
        <v>134</v>
      </c>
      <c r="C52" s="27">
        <f>C17+C18+C19+C20+C21+C22+C23+C24+C25+C26+C27+C28+C29+C30+C31+C32+C33+C34+C35+C36+C37+C38+C39+C40+C41+C42+C43+C44+C45+C46+C47+C48+C49+C50+C51</f>
        <v>38699300</v>
      </c>
      <c r="D52" s="27">
        <f>D17+D18+D19+D20+D21+D22+D23+D24+D25+D26+D27+D28+D29+D30+D31+D32+D33+D34+D35+D36+D37+D38+D39+D40+D41+D42+D43+D44+D45+D46+D47+D48+D49+D50+D51</f>
        <v>28658200</v>
      </c>
      <c r="E52" s="27">
        <f>E17+E18+E19+E20+E21+E22+E23+E24+E25+E26+E27+E28+E29+E30+E31+E32+E33+E34+E35+E36+E37+E38+E39+E40+E41+E42+E43+E44+E45+E46+E47+E48+E49+E50+E51</f>
        <v>17817700</v>
      </c>
      <c r="F52" s="27">
        <f>F17+F18+F19+F20+F21+F22+F23+F24+F25+F26+F27+F28+F29+F30+F31+F32+F33+F34+F35+F36+F37+F38+F39+F40+F41+F42+F43+F44+F45+F46+F47+F48+F49+F50+F51</f>
        <v>10041100</v>
      </c>
    </row>
    <row r="53" spans="1:6">
      <c r="A53" s="269"/>
      <c r="B53" s="269"/>
      <c r="C53" s="269"/>
      <c r="D53" s="269"/>
      <c r="E53" s="269"/>
      <c r="F53" s="269"/>
    </row>
    <row r="54" spans="1:6">
      <c r="A54" s="270" t="s">
        <v>49</v>
      </c>
      <c r="B54" s="270"/>
      <c r="C54" s="270"/>
      <c r="D54" s="270"/>
      <c r="E54" s="270"/>
      <c r="F54" s="270"/>
    </row>
    <row r="55" spans="1:6">
      <c r="A55" s="87"/>
      <c r="B55" s="87"/>
      <c r="C55" s="87"/>
      <c r="D55" s="87"/>
      <c r="E55" s="87"/>
      <c r="F55" s="87"/>
    </row>
    <row r="56" spans="1:6">
      <c r="A56" s="87"/>
      <c r="B56" s="87"/>
      <c r="C56" s="87"/>
      <c r="D56" s="87"/>
      <c r="E56" s="87"/>
      <c r="F56" s="87"/>
    </row>
    <row r="57" spans="1:6">
      <c r="A57" s="87"/>
      <c r="B57" s="87"/>
      <c r="C57" s="87"/>
      <c r="D57" s="87"/>
      <c r="E57" s="87"/>
      <c r="F57" s="87"/>
    </row>
    <row r="58" spans="1:6">
      <c r="A58" s="87"/>
      <c r="B58" s="87"/>
      <c r="C58" s="87"/>
      <c r="D58" s="87"/>
      <c r="E58" s="87"/>
      <c r="F58" s="87"/>
    </row>
    <row r="59" spans="1:6">
      <c r="A59" s="87"/>
      <c r="B59" s="87"/>
      <c r="C59" s="87"/>
      <c r="D59" s="87"/>
      <c r="E59" s="87"/>
      <c r="F59" s="87"/>
    </row>
    <row r="60" spans="1:6">
      <c r="A60" s="87"/>
      <c r="B60" s="87"/>
      <c r="C60" s="87"/>
      <c r="D60" s="87"/>
      <c r="E60" s="87"/>
      <c r="F60" s="87"/>
    </row>
    <row r="61" spans="1:6">
      <c r="A61" s="87"/>
      <c r="B61" s="87"/>
      <c r="C61" s="87"/>
      <c r="D61" s="87"/>
      <c r="E61" s="87"/>
      <c r="F61" s="87"/>
    </row>
    <row r="62" spans="1:6">
      <c r="A62" s="87"/>
      <c r="B62" s="87"/>
      <c r="C62" s="87"/>
      <c r="D62" s="87"/>
      <c r="E62" s="87"/>
      <c r="F62" s="87"/>
    </row>
    <row r="63" spans="1:6">
      <c r="A63" s="87"/>
      <c r="B63" s="87"/>
      <c r="C63" s="87"/>
      <c r="D63" s="87"/>
      <c r="E63" s="87"/>
      <c r="F63" s="87"/>
    </row>
    <row r="64" spans="1:6">
      <c r="A64" s="87"/>
      <c r="B64" s="87"/>
      <c r="C64" s="87"/>
      <c r="D64" s="87"/>
      <c r="E64" s="87"/>
      <c r="F64" s="87"/>
    </row>
    <row r="65" spans="1:6">
      <c r="A65" s="87"/>
      <c r="B65" s="87"/>
      <c r="C65" s="87"/>
      <c r="D65" s="87"/>
      <c r="E65" s="87"/>
      <c r="F65" s="87"/>
    </row>
    <row r="66" spans="1:6">
      <c r="A66" s="87"/>
      <c r="B66" s="87"/>
      <c r="C66" s="87"/>
      <c r="D66" s="87"/>
      <c r="E66" s="87"/>
      <c r="F66" s="87"/>
    </row>
    <row r="67" spans="1:6">
      <c r="A67" s="87"/>
      <c r="B67" s="87"/>
      <c r="C67" s="87"/>
      <c r="D67" s="87"/>
      <c r="E67" s="87"/>
      <c r="F67" s="87"/>
    </row>
    <row r="68" spans="1:6">
      <c r="A68" s="87"/>
      <c r="B68" s="87"/>
      <c r="C68" s="87"/>
      <c r="D68" s="87"/>
      <c r="E68" s="87"/>
      <c r="F68" s="87"/>
    </row>
    <row r="69" spans="1:6">
      <c r="A69" s="87"/>
      <c r="B69" s="87"/>
      <c r="C69" s="87"/>
      <c r="D69" s="87"/>
      <c r="E69" s="87"/>
      <c r="F69" s="87"/>
    </row>
    <row r="70" spans="1:6">
      <c r="A70" s="87"/>
      <c r="B70" s="87"/>
      <c r="C70" s="87"/>
      <c r="D70" s="87"/>
      <c r="E70" s="87"/>
      <c r="F70" s="87"/>
    </row>
    <row r="71" spans="1:6">
      <c r="A71" s="87"/>
      <c r="B71" s="87"/>
      <c r="C71" s="87"/>
      <c r="D71" s="87"/>
      <c r="E71" s="87"/>
      <c r="F71" s="87"/>
    </row>
    <row r="72" spans="1:6">
      <c r="A72" s="87"/>
      <c r="B72" s="87"/>
      <c r="C72" s="87"/>
      <c r="D72" s="87"/>
      <c r="E72" s="87"/>
      <c r="F72" s="87"/>
    </row>
    <row r="73" spans="1:6">
      <c r="A73" s="87"/>
      <c r="B73" s="87"/>
      <c r="C73" s="87"/>
      <c r="D73" s="87"/>
      <c r="E73" s="87"/>
      <c r="F73" s="87"/>
    </row>
    <row r="74" spans="1:6">
      <c r="A74" s="87"/>
      <c r="B74" s="87"/>
      <c r="C74" s="87"/>
      <c r="D74" s="87"/>
      <c r="E74" s="87"/>
      <c r="F74" s="87"/>
    </row>
    <row r="75" spans="1:6">
      <c r="A75" s="87"/>
      <c r="B75" s="87"/>
      <c r="C75" s="87"/>
      <c r="D75" s="87"/>
      <c r="E75" s="87"/>
      <c r="F75" s="87"/>
    </row>
    <row r="76" spans="1:6">
      <c r="A76" s="87"/>
      <c r="B76" s="87"/>
      <c r="C76" s="87"/>
      <c r="D76" s="87"/>
      <c r="E76" s="87"/>
      <c r="F76" s="87"/>
    </row>
    <row r="77" spans="1:6">
      <c r="A77" s="87"/>
      <c r="B77" s="87"/>
      <c r="C77" s="87"/>
      <c r="D77" s="87"/>
      <c r="E77" s="87"/>
      <c r="F77" s="87"/>
    </row>
    <row r="78" spans="1:6">
      <c r="A78" s="87"/>
      <c r="B78" s="87"/>
      <c r="C78" s="87"/>
      <c r="D78" s="87"/>
      <c r="E78" s="87"/>
      <c r="F78" s="87"/>
    </row>
    <row r="79" spans="1:6">
      <c r="A79" s="87"/>
      <c r="B79" s="87"/>
      <c r="C79" s="87"/>
      <c r="D79" s="87"/>
      <c r="E79" s="87"/>
      <c r="F79" s="87"/>
    </row>
    <row r="80" spans="1:6">
      <c r="A80" s="87"/>
      <c r="B80" s="87"/>
      <c r="C80" s="87"/>
      <c r="D80" s="87"/>
      <c r="E80" s="87"/>
      <c r="F80" s="87"/>
    </row>
    <row r="81" spans="1:6">
      <c r="A81" s="89"/>
      <c r="B81" s="89"/>
      <c r="C81" s="89"/>
      <c r="D81" s="89"/>
      <c r="E81" s="89"/>
      <c r="F81" s="89"/>
    </row>
    <row r="82" spans="1:6">
      <c r="A82" s="89"/>
      <c r="B82" s="89"/>
      <c r="C82" s="89"/>
      <c r="D82" s="89"/>
      <c r="E82" s="89"/>
      <c r="F82" s="89"/>
    </row>
    <row r="83" spans="1:6">
      <c r="A83" s="89"/>
      <c r="B83" s="89"/>
      <c r="C83" s="89"/>
      <c r="D83" s="89"/>
      <c r="E83" s="89"/>
      <c r="F83" s="89"/>
    </row>
    <row r="84" spans="1:6">
      <c r="A84" s="89"/>
      <c r="B84" s="89"/>
      <c r="C84" s="89"/>
      <c r="D84" s="89"/>
      <c r="E84" s="89"/>
      <c r="F84" s="89"/>
    </row>
    <row r="85" spans="1:6">
      <c r="A85" s="89"/>
      <c r="B85" s="89"/>
      <c r="C85" s="89"/>
      <c r="D85" s="89"/>
      <c r="E85" s="89"/>
      <c r="F85" s="89"/>
    </row>
    <row r="86" spans="1:6">
      <c r="A86" s="89"/>
      <c r="B86" s="89"/>
      <c r="C86" s="89"/>
      <c r="D86" s="89"/>
      <c r="E86" s="89"/>
      <c r="F86" s="89"/>
    </row>
    <row r="87" spans="1:6">
      <c r="A87" s="89"/>
      <c r="B87" s="89"/>
      <c r="C87" s="89"/>
      <c r="D87" s="89"/>
      <c r="E87" s="89"/>
      <c r="F87" s="89"/>
    </row>
    <row r="88" spans="1:6">
      <c r="A88" s="89"/>
      <c r="B88" s="89"/>
      <c r="C88" s="89"/>
      <c r="D88" s="89"/>
      <c r="E88" s="89"/>
      <c r="F88" s="89"/>
    </row>
    <row r="89" spans="1:6">
      <c r="A89" s="89"/>
      <c r="B89" s="89"/>
      <c r="C89" s="89"/>
      <c r="D89" s="89"/>
      <c r="E89" s="89"/>
      <c r="F89" s="89"/>
    </row>
    <row r="90" spans="1:6">
      <c r="A90" s="89"/>
      <c r="B90" s="89"/>
      <c r="C90" s="89"/>
      <c r="D90" s="89"/>
      <c r="E90" s="89"/>
      <c r="F90" s="89"/>
    </row>
    <row r="91" spans="1:6">
      <c r="A91" s="89"/>
      <c r="B91" s="89"/>
      <c r="C91" s="89"/>
      <c r="D91" s="89"/>
      <c r="E91" s="89"/>
      <c r="F91" s="89"/>
    </row>
    <row r="92" spans="1:6">
      <c r="A92" s="89"/>
      <c r="B92" s="89"/>
      <c r="C92" s="89"/>
      <c r="D92" s="89"/>
      <c r="E92" s="89"/>
      <c r="F92" s="89"/>
    </row>
    <row r="93" spans="1:6">
      <c r="A93" s="89"/>
      <c r="B93" s="89"/>
      <c r="C93" s="89"/>
      <c r="D93" s="89"/>
      <c r="E93" s="89"/>
      <c r="F93" s="89"/>
    </row>
    <row r="94" spans="1:6">
      <c r="A94" s="89"/>
      <c r="B94" s="89"/>
      <c r="C94" s="89"/>
      <c r="D94" s="89"/>
      <c r="E94" s="89"/>
      <c r="F94" s="89"/>
    </row>
    <row r="95" spans="1:6">
      <c r="A95" s="89"/>
      <c r="B95" s="89"/>
      <c r="C95" s="89"/>
      <c r="D95" s="89"/>
      <c r="E95" s="89"/>
      <c r="F95" s="89"/>
    </row>
    <row r="96" spans="1:6">
      <c r="A96" s="89"/>
      <c r="B96" s="89"/>
      <c r="C96" s="89"/>
      <c r="D96" s="89"/>
      <c r="E96" s="89"/>
      <c r="F96" s="89"/>
    </row>
    <row r="97" spans="1:6">
      <c r="A97" s="89"/>
      <c r="B97" s="89"/>
      <c r="C97" s="89"/>
      <c r="D97" s="89"/>
      <c r="E97" s="89"/>
      <c r="F97" s="89"/>
    </row>
    <row r="98" spans="1:6">
      <c r="A98" s="89"/>
      <c r="B98" s="89"/>
      <c r="C98" s="89"/>
      <c r="D98" s="89"/>
      <c r="E98" s="89"/>
      <c r="F98" s="89"/>
    </row>
    <row r="99" spans="1:6">
      <c r="A99" s="89"/>
      <c r="B99" s="89"/>
      <c r="C99" s="89"/>
      <c r="D99" s="89"/>
      <c r="E99" s="89"/>
      <c r="F99" s="89"/>
    </row>
    <row r="100" spans="1:6">
      <c r="A100" s="89"/>
      <c r="B100" s="89"/>
      <c r="C100" s="89"/>
      <c r="D100" s="89"/>
      <c r="E100" s="89"/>
      <c r="F100" s="89"/>
    </row>
    <row r="101" spans="1:6">
      <c r="A101" s="89"/>
      <c r="B101" s="89"/>
      <c r="C101" s="89"/>
      <c r="D101" s="89"/>
      <c r="E101" s="89"/>
      <c r="F101" s="89"/>
    </row>
    <row r="102" spans="1:6">
      <c r="A102" s="89"/>
      <c r="B102" s="89"/>
      <c r="C102" s="89"/>
      <c r="D102" s="89"/>
      <c r="E102" s="89"/>
      <c r="F102" s="89"/>
    </row>
    <row r="103" spans="1:6">
      <c r="A103" s="89"/>
      <c r="B103" s="89"/>
      <c r="C103" s="89"/>
      <c r="D103" s="89"/>
      <c r="E103" s="89"/>
      <c r="F103" s="89"/>
    </row>
    <row r="104" spans="1:6">
      <c r="A104" s="89"/>
      <c r="B104" s="89"/>
      <c r="C104" s="89"/>
      <c r="D104" s="89"/>
      <c r="E104" s="89"/>
      <c r="F104" s="89"/>
    </row>
    <row r="105" spans="1:6">
      <c r="A105" s="89"/>
      <c r="B105" s="89"/>
      <c r="C105" s="89"/>
      <c r="D105" s="89"/>
      <c r="E105" s="89"/>
      <c r="F105" s="89"/>
    </row>
    <row r="106" spans="1:6">
      <c r="A106" s="89"/>
      <c r="B106" s="89"/>
      <c r="C106" s="89"/>
      <c r="D106" s="89"/>
      <c r="E106" s="89"/>
      <c r="F106" s="89"/>
    </row>
    <row r="107" spans="1:6">
      <c r="A107" s="89"/>
      <c r="B107" s="89"/>
      <c r="C107" s="89"/>
      <c r="D107" s="89"/>
      <c r="E107" s="89"/>
      <c r="F107" s="89"/>
    </row>
    <row r="108" spans="1:6">
      <c r="A108" s="89"/>
      <c r="B108" s="89"/>
      <c r="C108" s="89"/>
      <c r="D108" s="89"/>
      <c r="E108" s="89"/>
      <c r="F108" s="89"/>
    </row>
    <row r="109" spans="1:6">
      <c r="A109" s="89"/>
      <c r="B109" s="89"/>
      <c r="C109" s="89"/>
      <c r="D109" s="89"/>
      <c r="E109" s="89"/>
      <c r="F109" s="89"/>
    </row>
    <row r="110" spans="1:6">
      <c r="A110" s="89"/>
      <c r="B110" s="89"/>
      <c r="C110" s="89"/>
      <c r="D110" s="89"/>
      <c r="E110" s="89"/>
      <c r="F110" s="89"/>
    </row>
    <row r="111" spans="1:6">
      <c r="A111" s="89"/>
      <c r="B111" s="89"/>
      <c r="C111" s="89"/>
      <c r="D111" s="89"/>
      <c r="E111" s="89"/>
      <c r="F111" s="89"/>
    </row>
    <row r="112" spans="1:6">
      <c r="A112" s="89"/>
      <c r="B112" s="89"/>
      <c r="C112" s="89"/>
      <c r="D112" s="89"/>
      <c r="E112" s="89"/>
      <c r="F112" s="89"/>
    </row>
    <row r="113" spans="1:6">
      <c r="A113" s="89"/>
      <c r="B113" s="89"/>
      <c r="C113" s="89"/>
      <c r="D113" s="89"/>
      <c r="E113" s="89"/>
      <c r="F113" s="89"/>
    </row>
    <row r="114" spans="1:6">
      <c r="A114" s="89"/>
      <c r="B114" s="89"/>
      <c r="C114" s="89"/>
      <c r="D114" s="89"/>
      <c r="E114" s="89"/>
      <c r="F114" s="89"/>
    </row>
    <row r="115" spans="1:6">
      <c r="A115" s="89"/>
      <c r="B115" s="89"/>
      <c r="C115" s="89"/>
      <c r="D115" s="89"/>
      <c r="E115" s="89"/>
      <c r="F115" s="89"/>
    </row>
    <row r="116" spans="1:6">
      <c r="A116" s="89"/>
      <c r="B116" s="89"/>
      <c r="C116" s="89"/>
      <c r="D116" s="89"/>
      <c r="E116" s="89"/>
      <c r="F116" s="89"/>
    </row>
    <row r="117" spans="1:6">
      <c r="A117" s="89"/>
      <c r="B117" s="89"/>
      <c r="C117" s="89"/>
      <c r="D117" s="89"/>
      <c r="E117" s="89"/>
      <c r="F117" s="89"/>
    </row>
    <row r="118" spans="1:6">
      <c r="A118" s="89"/>
      <c r="B118" s="89"/>
      <c r="C118" s="89"/>
      <c r="D118" s="89"/>
      <c r="E118" s="89"/>
      <c r="F118" s="89"/>
    </row>
    <row r="119" spans="1:6">
      <c r="A119" s="89"/>
      <c r="B119" s="89"/>
      <c r="C119" s="89"/>
      <c r="D119" s="89"/>
      <c r="E119" s="89"/>
      <c r="F119" s="89"/>
    </row>
    <row r="120" spans="1:6">
      <c r="A120" s="89"/>
      <c r="B120" s="89"/>
      <c r="C120" s="89"/>
      <c r="D120" s="89"/>
      <c r="E120" s="89"/>
      <c r="F120" s="89"/>
    </row>
    <row r="121" spans="1:6">
      <c r="A121" s="89"/>
      <c r="B121" s="89"/>
      <c r="C121" s="89"/>
      <c r="D121" s="89"/>
      <c r="E121" s="89"/>
      <c r="F121" s="89"/>
    </row>
    <row r="122" spans="1:6">
      <c r="A122" s="89"/>
      <c r="B122" s="89"/>
      <c r="C122" s="89"/>
      <c r="D122" s="89"/>
      <c r="E122" s="89"/>
      <c r="F122" s="89"/>
    </row>
    <row r="123" spans="1:6">
      <c r="A123" s="89"/>
      <c r="B123" s="89"/>
      <c r="C123" s="89"/>
      <c r="D123" s="89"/>
      <c r="E123" s="89"/>
      <c r="F123" s="89"/>
    </row>
    <row r="124" spans="1:6">
      <c r="A124" s="89"/>
      <c r="B124" s="89"/>
      <c r="C124" s="89"/>
      <c r="D124" s="89"/>
      <c r="E124" s="89"/>
      <c r="F124" s="89"/>
    </row>
    <row r="125" spans="1:6">
      <c r="A125" s="89"/>
      <c r="B125" s="89"/>
      <c r="C125" s="89"/>
      <c r="D125" s="89"/>
      <c r="E125" s="89"/>
      <c r="F125" s="89"/>
    </row>
    <row r="126" spans="1:6">
      <c r="A126" s="89"/>
      <c r="B126" s="89"/>
      <c r="C126" s="89"/>
      <c r="D126" s="89"/>
      <c r="E126" s="89"/>
      <c r="F126" s="89"/>
    </row>
    <row r="127" spans="1:6">
      <c r="A127" s="89"/>
      <c r="B127" s="89"/>
      <c r="C127" s="89"/>
      <c r="D127" s="89"/>
      <c r="E127" s="89"/>
      <c r="F127" s="89"/>
    </row>
    <row r="128" spans="1:6">
      <c r="A128" s="89"/>
      <c r="B128" s="89"/>
      <c r="C128" s="89"/>
      <c r="D128" s="89"/>
      <c r="E128" s="89"/>
      <c r="F128" s="89"/>
    </row>
    <row r="129" spans="1:6">
      <c r="A129" s="89"/>
      <c r="B129" s="89"/>
      <c r="C129" s="89"/>
      <c r="D129" s="89"/>
      <c r="E129" s="89"/>
      <c r="F129" s="89"/>
    </row>
    <row r="130" spans="1:6">
      <c r="A130" s="89"/>
      <c r="B130" s="89"/>
      <c r="C130" s="89"/>
      <c r="D130" s="89"/>
      <c r="E130" s="89"/>
      <c r="F130" s="89"/>
    </row>
    <row r="131" spans="1:6">
      <c r="A131" s="89"/>
      <c r="B131" s="89"/>
      <c r="C131" s="89"/>
      <c r="D131" s="89"/>
      <c r="E131" s="89"/>
      <c r="F131" s="89"/>
    </row>
    <row r="132" spans="1:6">
      <c r="A132" s="89"/>
      <c r="B132" s="89"/>
      <c r="C132" s="89"/>
      <c r="D132" s="89"/>
      <c r="E132" s="89"/>
      <c r="F132" s="89"/>
    </row>
    <row r="133" spans="1:6">
      <c r="A133" s="89"/>
      <c r="B133" s="89"/>
      <c r="C133" s="89"/>
      <c r="D133" s="89"/>
      <c r="E133" s="89"/>
      <c r="F133" s="89"/>
    </row>
    <row r="134" spans="1:6">
      <c r="A134" s="89"/>
      <c r="B134" s="89"/>
      <c r="C134" s="89"/>
      <c r="D134" s="89"/>
      <c r="E134" s="89"/>
      <c r="F134" s="89"/>
    </row>
  </sheetData>
  <mergeCells count="18">
    <mergeCell ref="C12:F12"/>
    <mergeCell ref="C13:C15"/>
    <mergeCell ref="D13:F13"/>
    <mergeCell ref="D14:E14"/>
    <mergeCell ref="F14:F15"/>
    <mergeCell ref="D5:F5"/>
    <mergeCell ref="D6:F6"/>
    <mergeCell ref="D7:F7"/>
    <mergeCell ref="D1:F1"/>
    <mergeCell ref="D2:F2"/>
    <mergeCell ref="D3:F3"/>
    <mergeCell ref="D4:F4"/>
    <mergeCell ref="A53:F53"/>
    <mergeCell ref="A54:F54"/>
    <mergeCell ref="A8:F10"/>
    <mergeCell ref="C11:F11"/>
    <mergeCell ref="A12:A15"/>
    <mergeCell ref="B12:B15"/>
  </mergeCells>
  <phoneticPr fontId="5" type="noConversion"/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K50"/>
  <sheetViews>
    <sheetView topLeftCell="A4" zoomScale="135" zoomScaleNormal="135" workbookViewId="0">
      <selection activeCell="E7" sqref="E7:G7"/>
    </sheetView>
  </sheetViews>
  <sheetFormatPr defaultRowHeight="12.75"/>
  <cols>
    <col min="1" max="1" width="4" customWidth="1"/>
    <col min="2" max="2" width="10.140625" customWidth="1"/>
    <col min="3" max="3" width="35.28515625" customWidth="1"/>
    <col min="4" max="5" width="10.140625" customWidth="1"/>
    <col min="6" max="6" width="11.28515625" customWidth="1"/>
    <col min="7" max="7" width="10.7109375" customWidth="1"/>
  </cols>
  <sheetData>
    <row r="1" spans="1:8" ht="14.1" customHeight="1">
      <c r="A1" s="3"/>
      <c r="B1" s="3"/>
      <c r="C1" s="3"/>
      <c r="D1" s="35"/>
      <c r="E1" s="226" t="s">
        <v>7</v>
      </c>
      <c r="F1" s="226"/>
      <c r="G1" s="226"/>
    </row>
    <row r="2" spans="1:8" ht="14.1" customHeight="1">
      <c r="A2" s="3"/>
      <c r="B2" s="3"/>
      <c r="C2" s="3"/>
      <c r="D2" s="35"/>
      <c r="E2" s="226" t="s">
        <v>382</v>
      </c>
      <c r="F2" s="226"/>
      <c r="G2" s="226"/>
    </row>
    <row r="3" spans="1:8" ht="14.1" customHeight="1">
      <c r="A3" s="1"/>
      <c r="B3" s="2"/>
      <c r="C3" s="3"/>
      <c r="D3" s="35"/>
      <c r="E3" s="226" t="s">
        <v>406</v>
      </c>
      <c r="F3" s="226"/>
      <c r="G3" s="226"/>
    </row>
    <row r="4" spans="1:8" ht="14.1" customHeight="1">
      <c r="A4" s="1"/>
      <c r="B4" s="2"/>
      <c r="C4" s="16"/>
      <c r="D4" s="16"/>
      <c r="E4" s="227" t="s">
        <v>137</v>
      </c>
      <c r="F4" s="227"/>
      <c r="G4" s="227"/>
    </row>
    <row r="5" spans="1:8" ht="14.1" customHeight="1">
      <c r="A5" s="1"/>
      <c r="B5" s="2"/>
      <c r="C5" s="16"/>
      <c r="D5" s="16"/>
      <c r="E5" s="227" t="s">
        <v>407</v>
      </c>
      <c r="F5" s="227"/>
      <c r="G5" s="227"/>
    </row>
    <row r="6" spans="1:8" ht="14.1" customHeight="1">
      <c r="A6" s="1"/>
      <c r="B6" s="2"/>
      <c r="C6" s="16"/>
      <c r="D6" s="16"/>
      <c r="E6" s="227" t="s">
        <v>433</v>
      </c>
      <c r="F6" s="227"/>
      <c r="G6" s="227"/>
    </row>
    <row r="7" spans="1:8" ht="14.1" customHeight="1">
      <c r="A7" s="1"/>
      <c r="B7" s="2"/>
      <c r="C7" s="16"/>
      <c r="D7" s="16"/>
      <c r="E7" s="227" t="s">
        <v>435</v>
      </c>
      <c r="F7" s="227"/>
      <c r="G7" s="227"/>
    </row>
    <row r="8" spans="1:8" ht="12.75" customHeight="1">
      <c r="A8" s="1"/>
      <c r="B8" s="2"/>
      <c r="C8" s="3"/>
      <c r="D8" s="16"/>
      <c r="E8" s="16"/>
      <c r="F8" s="16"/>
      <c r="G8" s="16"/>
    </row>
    <row r="9" spans="1:8" ht="12" customHeight="1">
      <c r="A9" s="231" t="s">
        <v>383</v>
      </c>
      <c r="B9" s="231"/>
      <c r="C9" s="231"/>
      <c r="D9" s="231"/>
      <c r="E9" s="231"/>
      <c r="F9" s="231"/>
      <c r="G9" s="231"/>
      <c r="H9" s="48"/>
    </row>
    <row r="10" spans="1:8" ht="12" customHeight="1">
      <c r="A10" s="231"/>
      <c r="B10" s="231"/>
      <c r="C10" s="231"/>
      <c r="D10" s="231"/>
      <c r="E10" s="231"/>
      <c r="F10" s="231"/>
      <c r="G10" s="231"/>
      <c r="H10" s="48"/>
    </row>
    <row r="11" spans="1:8" ht="15" customHeight="1">
      <c r="A11" s="1"/>
      <c r="B11" s="2"/>
      <c r="C11" s="3"/>
      <c r="D11" s="274"/>
      <c r="E11" s="274"/>
      <c r="F11" s="271" t="s">
        <v>260</v>
      </c>
      <c r="G11" s="271"/>
      <c r="H11" s="33"/>
    </row>
    <row r="12" spans="1:8" ht="12.75" customHeight="1">
      <c r="A12" s="228" t="s">
        <v>0</v>
      </c>
      <c r="B12" s="223" t="s">
        <v>1</v>
      </c>
      <c r="C12" s="228" t="s">
        <v>113</v>
      </c>
      <c r="D12" s="273" t="s">
        <v>127</v>
      </c>
      <c r="E12" s="237"/>
      <c r="F12" s="237"/>
      <c r="G12" s="238"/>
    </row>
    <row r="13" spans="1:8" ht="12.75" customHeight="1">
      <c r="A13" s="229"/>
      <c r="B13" s="224"/>
      <c r="C13" s="229"/>
      <c r="D13" s="228" t="s">
        <v>3</v>
      </c>
      <c r="E13" s="244" t="s">
        <v>4</v>
      </c>
      <c r="F13" s="244"/>
      <c r="G13" s="245"/>
    </row>
    <row r="14" spans="1:8">
      <c r="A14" s="229"/>
      <c r="B14" s="224"/>
      <c r="C14" s="229"/>
      <c r="D14" s="229"/>
      <c r="E14" s="246" t="s">
        <v>125</v>
      </c>
      <c r="F14" s="246"/>
      <c r="G14" s="228" t="s">
        <v>51</v>
      </c>
    </row>
    <row r="15" spans="1:8" ht="24.75" customHeight="1">
      <c r="A15" s="230"/>
      <c r="B15" s="225"/>
      <c r="C15" s="230"/>
      <c r="D15" s="230"/>
      <c r="E15" s="90" t="s">
        <v>126</v>
      </c>
      <c r="F15" s="92" t="s">
        <v>8</v>
      </c>
      <c r="G15" s="230"/>
    </row>
    <row r="16" spans="1:8" ht="12" customHeight="1">
      <c r="A16" s="5">
        <v>1</v>
      </c>
      <c r="B16" s="78" t="s">
        <v>5</v>
      </c>
      <c r="C16" s="4">
        <v>3</v>
      </c>
      <c r="D16" s="4">
        <v>5</v>
      </c>
      <c r="E16" s="4">
        <v>6</v>
      </c>
      <c r="F16" s="4">
        <v>7</v>
      </c>
      <c r="G16" s="4">
        <v>8</v>
      </c>
    </row>
    <row r="17" spans="1:11" ht="25.5">
      <c r="A17" s="74" t="s">
        <v>84</v>
      </c>
      <c r="B17" s="223" t="s">
        <v>10</v>
      </c>
      <c r="C17" s="17" t="s">
        <v>11</v>
      </c>
      <c r="D17" s="81">
        <f>SUM(D18:D23)</f>
        <v>13358900</v>
      </c>
      <c r="E17" s="81">
        <f>SUM(E18:E23)</f>
        <v>13245800</v>
      </c>
      <c r="F17" s="81">
        <f>SUM(F18:F23)</f>
        <v>10745700</v>
      </c>
      <c r="G17" s="81">
        <f>SUM(G18:G23)</f>
        <v>113100</v>
      </c>
    </row>
    <row r="18" spans="1:11">
      <c r="A18" s="77" t="s">
        <v>85</v>
      </c>
      <c r="B18" s="224"/>
      <c r="C18" s="18" t="s">
        <v>114</v>
      </c>
      <c r="D18" s="20">
        <f>5208300+15000+1000+11000+2800+4000+8400</f>
        <v>5250500</v>
      </c>
      <c r="E18" s="20">
        <f t="shared" ref="E18:E23" si="0">D18-G18</f>
        <v>5171700</v>
      </c>
      <c r="F18" s="20">
        <f>3945800+14200+500-18700-14800</f>
        <v>3927000</v>
      </c>
      <c r="G18" s="20">
        <f>58400+8000+4000+8400</f>
        <v>78800</v>
      </c>
    </row>
    <row r="19" spans="1:11">
      <c r="A19" s="77" t="s">
        <v>86</v>
      </c>
      <c r="B19" s="224"/>
      <c r="C19" s="18" t="s">
        <v>377</v>
      </c>
      <c r="D19" s="20">
        <f>6748200+211800+25000</f>
        <v>6985000</v>
      </c>
      <c r="E19" s="20">
        <f t="shared" si="0"/>
        <v>6982200</v>
      </c>
      <c r="F19" s="20">
        <f>6475800-200-2600+800-15300+165100</f>
        <v>6623600</v>
      </c>
      <c r="G19" s="20">
        <f>2500+100+200</f>
        <v>2800</v>
      </c>
    </row>
    <row r="20" spans="1:11">
      <c r="A20" s="74" t="s">
        <v>87</v>
      </c>
      <c r="B20" s="224"/>
      <c r="C20" s="18" t="s">
        <v>115</v>
      </c>
      <c r="D20" s="41">
        <v>255400</v>
      </c>
      <c r="E20" s="20">
        <f t="shared" si="0"/>
        <v>255400</v>
      </c>
      <c r="F20" s="41"/>
      <c r="G20" s="41"/>
      <c r="K20" s="47"/>
    </row>
    <row r="21" spans="1:11">
      <c r="A21" s="74" t="s">
        <v>88</v>
      </c>
      <c r="B21" s="224"/>
      <c r="C21" s="18" t="s">
        <v>289</v>
      </c>
      <c r="D21" s="41">
        <f>142200+45800+161200+8000+15900</f>
        <v>373100</v>
      </c>
      <c r="E21" s="20">
        <f t="shared" si="0"/>
        <v>347100</v>
      </c>
      <c r="F21" s="41">
        <f>137900+2900+15900</f>
        <v>156700</v>
      </c>
      <c r="G21" s="41">
        <v>26000</v>
      </c>
    </row>
    <row r="22" spans="1:11">
      <c r="A22" s="74" t="s">
        <v>89</v>
      </c>
      <c r="B22" s="224"/>
      <c r="C22" s="18" t="s">
        <v>116</v>
      </c>
      <c r="D22" s="41">
        <f>366200+9700</f>
        <v>375900</v>
      </c>
      <c r="E22" s="20">
        <f t="shared" si="0"/>
        <v>375900</v>
      </c>
      <c r="F22" s="41">
        <v>37000</v>
      </c>
      <c r="G22" s="41"/>
    </row>
    <row r="23" spans="1:11">
      <c r="A23" s="74" t="s">
        <v>90</v>
      </c>
      <c r="B23" s="224"/>
      <c r="C23" s="18" t="s">
        <v>290</v>
      </c>
      <c r="D23" s="41">
        <f>10200+45000+47900+15900</f>
        <v>119000</v>
      </c>
      <c r="E23" s="20">
        <f t="shared" si="0"/>
        <v>113500</v>
      </c>
      <c r="F23" s="41">
        <f>200+1200</f>
        <v>1400</v>
      </c>
      <c r="G23" s="41">
        <v>5500</v>
      </c>
    </row>
    <row r="24" spans="1:11" ht="25.5">
      <c r="A24" s="74" t="s">
        <v>91</v>
      </c>
      <c r="B24" s="275" t="s">
        <v>9</v>
      </c>
      <c r="C24" s="8" t="s">
        <v>16</v>
      </c>
      <c r="D24" s="82">
        <f>SUM(D25:D28)</f>
        <v>5570700</v>
      </c>
      <c r="E24" s="82">
        <f>SUM(E25:E28)</f>
        <v>5538700</v>
      </c>
      <c r="F24" s="82">
        <f>SUM(F25:F28)</f>
        <v>2596500</v>
      </c>
      <c r="G24" s="82">
        <f>SUM(G25:G28)</f>
        <v>32000</v>
      </c>
    </row>
    <row r="25" spans="1:11" ht="12" customHeight="1">
      <c r="A25" s="75" t="s">
        <v>92</v>
      </c>
      <c r="B25" s="276"/>
      <c r="C25" s="18" t="s">
        <v>114</v>
      </c>
      <c r="D25" s="130">
        <f>2596100+4000+300</f>
        <v>2600400</v>
      </c>
      <c r="E25" s="20">
        <f>D25-G25</f>
        <v>2578400</v>
      </c>
      <c r="F25" s="130">
        <f>1063600-4000+200</f>
        <v>1059800</v>
      </c>
      <c r="G25" s="130">
        <v>22000</v>
      </c>
    </row>
    <row r="26" spans="1:11">
      <c r="A26" s="75" t="s">
        <v>93</v>
      </c>
      <c r="B26" s="276"/>
      <c r="C26" s="18" t="s">
        <v>289</v>
      </c>
      <c r="D26" s="23">
        <f>126000+13100+391900+18700</f>
        <v>549700</v>
      </c>
      <c r="E26" s="20">
        <f>D26-G26</f>
        <v>549700</v>
      </c>
      <c r="F26" s="24">
        <f>117300+12500+500</f>
        <v>130300</v>
      </c>
      <c r="G26" s="24"/>
    </row>
    <row r="27" spans="1:11" ht="12.75" customHeight="1">
      <c r="A27" s="75" t="s">
        <v>94</v>
      </c>
      <c r="B27" s="276"/>
      <c r="C27" s="18" t="s">
        <v>115</v>
      </c>
      <c r="D27" s="23">
        <f>1310800+33300</f>
        <v>1344100</v>
      </c>
      <c r="E27" s="20">
        <f>D27-G27</f>
        <v>1344100</v>
      </c>
      <c r="F27" s="193">
        <f>834700-200-42000+16300-21000</f>
        <v>787800</v>
      </c>
      <c r="G27" s="23"/>
    </row>
    <row r="28" spans="1:11">
      <c r="A28" s="74" t="s">
        <v>95</v>
      </c>
      <c r="B28" s="276"/>
      <c r="C28" s="18" t="s">
        <v>116</v>
      </c>
      <c r="D28" s="23">
        <f>1051500+15000+10000</f>
        <v>1076500</v>
      </c>
      <c r="E28" s="20">
        <f>D28-G28</f>
        <v>1066500</v>
      </c>
      <c r="F28" s="23">
        <v>618600</v>
      </c>
      <c r="G28" s="23">
        <v>10000</v>
      </c>
    </row>
    <row r="29" spans="1:11" ht="25.5">
      <c r="A29" s="37" t="s">
        <v>96</v>
      </c>
      <c r="B29" s="275" t="s">
        <v>54</v>
      </c>
      <c r="C29" s="22" t="s">
        <v>417</v>
      </c>
      <c r="D29" s="95">
        <f>SUM(D30:D32)</f>
        <v>2132900</v>
      </c>
      <c r="E29" s="95">
        <f>SUM(E30:E32)</f>
        <v>2090700</v>
      </c>
      <c r="F29" s="95">
        <f>SUM(F30:F32)</f>
        <v>1286900</v>
      </c>
      <c r="G29" s="95">
        <f>SUM(G30:G32)</f>
        <v>42200</v>
      </c>
    </row>
    <row r="30" spans="1:11">
      <c r="A30" s="37" t="s">
        <v>97</v>
      </c>
      <c r="B30" s="276"/>
      <c r="C30" s="18" t="s">
        <v>289</v>
      </c>
      <c r="D30" s="23">
        <v>2200</v>
      </c>
      <c r="E30" s="20">
        <f>D30-G30</f>
        <v>2200</v>
      </c>
      <c r="F30" s="24"/>
      <c r="G30" s="24"/>
    </row>
    <row r="31" spans="1:11">
      <c r="A31" s="37" t="s">
        <v>98</v>
      </c>
      <c r="B31" s="276"/>
      <c r="C31" s="18" t="s">
        <v>114</v>
      </c>
      <c r="D31" s="23">
        <f>2062000+5500+2500+15000+28100+2000</f>
        <v>2115100</v>
      </c>
      <c r="E31" s="20">
        <f>D31-G31</f>
        <v>2073900</v>
      </c>
      <c r="F31" s="23">
        <v>1286900</v>
      </c>
      <c r="G31" s="23">
        <f>41200</f>
        <v>41200</v>
      </c>
    </row>
    <row r="32" spans="1:11" ht="12.75" customHeight="1">
      <c r="A32" s="37" t="s">
        <v>99</v>
      </c>
      <c r="B32" s="276"/>
      <c r="C32" s="18" t="s">
        <v>116</v>
      </c>
      <c r="D32" s="23">
        <v>15600</v>
      </c>
      <c r="E32" s="20">
        <f>D32-G32</f>
        <v>14600</v>
      </c>
      <c r="F32" s="23"/>
      <c r="G32" s="23">
        <v>1000</v>
      </c>
    </row>
    <row r="33" spans="1:7" ht="25.5">
      <c r="A33" s="74" t="s">
        <v>100</v>
      </c>
      <c r="B33" s="275" t="s">
        <v>19</v>
      </c>
      <c r="C33" s="22" t="s">
        <v>20</v>
      </c>
      <c r="D33" s="95">
        <f>SUM(D34:D37)</f>
        <v>4539300</v>
      </c>
      <c r="E33" s="95">
        <f>SUM(E34:E37)</f>
        <v>4161400</v>
      </c>
      <c r="F33" s="95">
        <f>SUM(F34:F37)</f>
        <v>3005400</v>
      </c>
      <c r="G33" s="95">
        <f>SUM(G34:G37)</f>
        <v>377900</v>
      </c>
    </row>
    <row r="34" spans="1:7">
      <c r="A34" s="76" t="s">
        <v>101</v>
      </c>
      <c r="B34" s="276"/>
      <c r="C34" s="18" t="s">
        <v>114</v>
      </c>
      <c r="D34" s="23">
        <f>3462100+20000+50000-89400-144600-15000-20000</f>
        <v>3263100</v>
      </c>
      <c r="E34" s="20">
        <f>D34-G34</f>
        <v>2885200</v>
      </c>
      <c r="F34" s="23">
        <v>2127700</v>
      </c>
      <c r="G34" s="23">
        <f>376400+1500</f>
        <v>377900</v>
      </c>
    </row>
    <row r="35" spans="1:7">
      <c r="A35" s="74" t="s">
        <v>102</v>
      </c>
      <c r="B35" s="276"/>
      <c r="C35" s="18" t="s">
        <v>115</v>
      </c>
      <c r="D35" s="23">
        <f>1077300+100000</f>
        <v>1177300</v>
      </c>
      <c r="E35" s="20">
        <f>D35-G35</f>
        <v>1177300</v>
      </c>
      <c r="F35" s="23">
        <f>865200-6000+200+1500</f>
        <v>860900</v>
      </c>
      <c r="G35" s="23"/>
    </row>
    <row r="36" spans="1:7">
      <c r="A36" s="74" t="s">
        <v>103</v>
      </c>
      <c r="B36" s="276"/>
      <c r="C36" s="18" t="s">
        <v>116</v>
      </c>
      <c r="D36" s="23">
        <v>51700</v>
      </c>
      <c r="E36" s="20">
        <f>D36-G36</f>
        <v>51700</v>
      </c>
      <c r="F36" s="23"/>
      <c r="G36" s="23"/>
    </row>
    <row r="37" spans="1:7">
      <c r="A37" s="74" t="s">
        <v>104</v>
      </c>
      <c r="B37" s="276"/>
      <c r="C37" s="18" t="s">
        <v>289</v>
      </c>
      <c r="D37" s="23">
        <f>17100+30100</f>
        <v>47200</v>
      </c>
      <c r="E37" s="20">
        <f>D37-G37</f>
        <v>47200</v>
      </c>
      <c r="F37" s="23">
        <v>16800</v>
      </c>
      <c r="G37" s="10"/>
    </row>
    <row r="38" spans="1:7" ht="25.5">
      <c r="A38" s="74" t="s">
        <v>105</v>
      </c>
      <c r="B38" s="275" t="s">
        <v>22</v>
      </c>
      <c r="C38" s="79" t="s">
        <v>112</v>
      </c>
      <c r="D38" s="82">
        <f>SUM(D39:D39)</f>
        <v>1187400</v>
      </c>
      <c r="E38" s="82">
        <f>SUM(E39:E39)</f>
        <v>1100900</v>
      </c>
      <c r="F38" s="82">
        <f>SUM(F39:F39)</f>
        <v>0</v>
      </c>
      <c r="G38" s="82">
        <f>SUM(G39:G39)</f>
        <v>86500</v>
      </c>
    </row>
    <row r="39" spans="1:7">
      <c r="A39" s="74" t="s">
        <v>106</v>
      </c>
      <c r="B39" s="276"/>
      <c r="C39" s="18" t="s">
        <v>114</v>
      </c>
      <c r="D39" s="28">
        <f>1149000+44400-6000</f>
        <v>1187400</v>
      </c>
      <c r="E39" s="20">
        <f>D39-G39</f>
        <v>1100900</v>
      </c>
      <c r="F39" s="82"/>
      <c r="G39" s="28">
        <f>3000+83500</f>
        <v>86500</v>
      </c>
    </row>
    <row r="40" spans="1:7" ht="25.5">
      <c r="A40" s="74" t="s">
        <v>107</v>
      </c>
      <c r="B40" s="275" t="s">
        <v>76</v>
      </c>
      <c r="C40" s="79" t="s">
        <v>235</v>
      </c>
      <c r="D40" s="82">
        <f>SUM(D41:D43)</f>
        <v>4338100</v>
      </c>
      <c r="E40" s="82">
        <f>SUM(E41:E43)</f>
        <v>2289100</v>
      </c>
      <c r="F40" s="82">
        <f>SUM(F41:F43)</f>
        <v>182100</v>
      </c>
      <c r="G40" s="82">
        <f>SUM(G41:G43)</f>
        <v>2049000</v>
      </c>
    </row>
    <row r="41" spans="1:7" ht="12.75" customHeight="1">
      <c r="A41" s="74" t="s">
        <v>108</v>
      </c>
      <c r="B41" s="276"/>
      <c r="C41" s="18" t="s">
        <v>114</v>
      </c>
      <c r="D41" s="23">
        <f>1764200+55100+89400-15000+144600-8000</f>
        <v>2030300</v>
      </c>
      <c r="E41" s="20">
        <f>D41-G41</f>
        <v>1389400</v>
      </c>
      <c r="F41" s="23">
        <v>117700</v>
      </c>
      <c r="G41" s="23">
        <f>643000+46300-48400</f>
        <v>640900</v>
      </c>
    </row>
    <row r="42" spans="1:7" ht="12.75" customHeight="1">
      <c r="A42" s="74" t="s">
        <v>109</v>
      </c>
      <c r="B42" s="276"/>
      <c r="C42" s="18" t="s">
        <v>115</v>
      </c>
      <c r="D42" s="23">
        <f>139400+3600</f>
        <v>143000</v>
      </c>
      <c r="E42" s="20">
        <f>D42-G42</f>
        <v>143000</v>
      </c>
      <c r="F42" s="23">
        <f>56500+7900</f>
        <v>64400</v>
      </c>
      <c r="G42" s="23"/>
    </row>
    <row r="43" spans="1:7" ht="12.75" customHeight="1">
      <c r="A43" s="74" t="s">
        <v>110</v>
      </c>
      <c r="B43" s="276"/>
      <c r="C43" s="18" t="s">
        <v>289</v>
      </c>
      <c r="D43" s="23">
        <f>2840800-676000</f>
        <v>2164800</v>
      </c>
      <c r="E43" s="20">
        <f>D43-G43</f>
        <v>756700</v>
      </c>
      <c r="F43" s="23"/>
      <c r="G43" s="23">
        <f>1649300-241200</f>
        <v>1408100</v>
      </c>
    </row>
    <row r="44" spans="1:7" ht="12.75" customHeight="1">
      <c r="A44" s="74" t="s">
        <v>180</v>
      </c>
      <c r="B44" s="275" t="s">
        <v>77</v>
      </c>
      <c r="C44" s="22" t="s">
        <v>79</v>
      </c>
      <c r="D44" s="94">
        <f>D45+D46+D47</f>
        <v>7572000</v>
      </c>
      <c r="E44" s="94">
        <f>E45+E46+E47</f>
        <v>231600</v>
      </c>
      <c r="F44" s="94">
        <f>F45+F46+F47</f>
        <v>1100</v>
      </c>
      <c r="G44" s="94">
        <f>G45+G46+G47</f>
        <v>7340400</v>
      </c>
    </row>
    <row r="45" spans="1:7" ht="12.75" customHeight="1">
      <c r="A45" s="74" t="s">
        <v>181</v>
      </c>
      <c r="B45" s="276"/>
      <c r="C45" s="18" t="s">
        <v>114</v>
      </c>
      <c r="D45" s="23">
        <f>1014300+6000-14800</f>
        <v>1005500</v>
      </c>
      <c r="E45" s="205">
        <f>D45-G45</f>
        <v>53000</v>
      </c>
      <c r="F45" s="21">
        <f>2100-400-1600+100</f>
        <v>200</v>
      </c>
      <c r="G45" s="21">
        <f>1002600-14000-100-6200-1600-12700-700-14800</f>
        <v>952500</v>
      </c>
    </row>
    <row r="46" spans="1:7" ht="12.75" customHeight="1">
      <c r="A46" s="74" t="s">
        <v>182</v>
      </c>
      <c r="B46" s="276"/>
      <c r="C46" s="18" t="s">
        <v>289</v>
      </c>
      <c r="D46" s="23">
        <f>164000+1439800+117100+2174000-1439800+1869800+5300+47600+29000</f>
        <v>4406800</v>
      </c>
      <c r="E46" s="20">
        <f>D46-G46</f>
        <v>2800</v>
      </c>
      <c r="F46" s="21">
        <v>100</v>
      </c>
      <c r="G46" s="21">
        <f>164000+836000+115900+2174000-836000+1868800+5300+47100+28900</f>
        <v>4404000</v>
      </c>
    </row>
    <row r="47" spans="1:7">
      <c r="A47" s="74" t="s">
        <v>183</v>
      </c>
      <c r="B47" s="276"/>
      <c r="C47" s="18" t="s">
        <v>290</v>
      </c>
      <c r="D47" s="23">
        <f>401000+6800+389800+421500+521400+342900+76300</f>
        <v>2159700</v>
      </c>
      <c r="E47" s="20">
        <f>D47-G47</f>
        <v>175800</v>
      </c>
      <c r="F47" s="21">
        <f>1000-200</f>
        <v>800</v>
      </c>
      <c r="G47" s="21">
        <f>335600+6800+353800+401300+487400+339100+59900</f>
        <v>1983900</v>
      </c>
    </row>
    <row r="48" spans="1:7">
      <c r="A48" s="7" t="s">
        <v>184</v>
      </c>
      <c r="B48" s="80"/>
      <c r="C48" s="106" t="s">
        <v>134</v>
      </c>
      <c r="D48" s="27">
        <f>SUM(D44+D40+D38+D33+D29+D24+D17)</f>
        <v>38699300</v>
      </c>
      <c r="E48" s="27">
        <f>SUM(E44+E40+E38+E33+E29+E24+E17)</f>
        <v>28658200</v>
      </c>
      <c r="F48" s="27">
        <f>F44+F40+F33+F29+F24+F17</f>
        <v>17817700</v>
      </c>
      <c r="G48" s="27">
        <f>SUM(G44+G40+G38+G33+G29+G24+G17)</f>
        <v>10041100</v>
      </c>
    </row>
    <row r="49" spans="1:7">
      <c r="A49" s="218"/>
      <c r="B49" s="218"/>
      <c r="C49" s="218"/>
      <c r="D49" s="218"/>
      <c r="E49" s="218"/>
      <c r="F49" s="218"/>
      <c r="G49" s="218"/>
    </row>
    <row r="50" spans="1:7">
      <c r="A50" s="47"/>
      <c r="B50" s="47"/>
      <c r="C50" s="47"/>
      <c r="D50" s="47"/>
      <c r="E50" s="47"/>
      <c r="F50" s="47"/>
      <c r="G50" s="47"/>
    </row>
  </sheetData>
  <mergeCells count="26">
    <mergeCell ref="A49:G49"/>
    <mergeCell ref="A12:A15"/>
    <mergeCell ref="B12:B15"/>
    <mergeCell ref="D13:D15"/>
    <mergeCell ref="E13:G13"/>
    <mergeCell ref="B44:B47"/>
    <mergeCell ref="B17:B23"/>
    <mergeCell ref="B24:B28"/>
    <mergeCell ref="B29:B32"/>
    <mergeCell ref="B33:B37"/>
    <mergeCell ref="B38:B39"/>
    <mergeCell ref="B40:B43"/>
    <mergeCell ref="C12:C15"/>
    <mergeCell ref="D12:G12"/>
    <mergeCell ref="E14:F14"/>
    <mergeCell ref="G14:G15"/>
    <mergeCell ref="E1:G1"/>
    <mergeCell ref="E2:G2"/>
    <mergeCell ref="E3:G3"/>
    <mergeCell ref="E4:G4"/>
    <mergeCell ref="A9:G10"/>
    <mergeCell ref="D11:E11"/>
    <mergeCell ref="F11:G11"/>
    <mergeCell ref="E5:G5"/>
    <mergeCell ref="E6:G6"/>
    <mergeCell ref="E7:G7"/>
  </mergeCells>
  <phoneticPr fontId="5" type="noConversion"/>
  <pageMargins left="1.3779527559055118" right="0.39370078740157483" top="0.39370078740157483" bottom="0.39370078740157483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 pr.pajamos</vt:lpstr>
      <vt:lpstr>2 pr. deleg.</vt:lpstr>
      <vt:lpstr>3 pr.kitos spec. tiksl. dot.</vt:lpstr>
      <vt:lpstr>4 pr. mok. lėš.</vt:lpstr>
      <vt:lpstr>6 pr. savivaldybės</vt:lpstr>
      <vt:lpstr>7 pr. eurp.sąj.</vt:lpstr>
      <vt:lpstr>8 pr. asignav. valdytojus</vt:lpstr>
      <vt:lpstr>9 pr. bendros išlaidos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User</cp:lastModifiedBy>
  <cp:lastPrinted>2020-10-22T10:14:02Z</cp:lastPrinted>
  <dcterms:created xsi:type="dcterms:W3CDTF">2011-02-01T07:14:51Z</dcterms:created>
  <dcterms:modified xsi:type="dcterms:W3CDTF">2020-10-22T12:14:50Z</dcterms:modified>
</cp:coreProperties>
</file>