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0" windowWidth="7515" windowHeight="5130" activeTab="3"/>
  </bookViews>
  <sheets>
    <sheet name="1 pr.pajamos" sheetId="22" r:id="rId1"/>
    <sheet name="2 pr. asignav. valdytojus" sheetId="6" r:id="rId2"/>
    <sheet name="3 pr. asignav. valdyt.šaltin" sheetId="34" r:id="rId3"/>
    <sheet name="4 pr. bendros išlaidos" sheetId="15" r:id="rId4"/>
  </sheets>
  <calcPr calcId="125725"/>
</workbook>
</file>

<file path=xl/calcChain.xml><?xml version="1.0" encoding="utf-8"?>
<calcChain xmlns="http://schemas.openxmlformats.org/spreadsheetml/2006/main">
  <c r="C45" i="22"/>
  <c r="D40" i="15"/>
  <c r="D42"/>
  <c r="G32"/>
  <c r="G31" s="1"/>
  <c r="D32"/>
  <c r="G35"/>
  <c r="D35"/>
  <c r="E35" s="1"/>
  <c r="G49" i="34"/>
  <c r="D49"/>
  <c r="D45"/>
  <c r="G46" i="15"/>
  <c r="E46" s="1"/>
  <c r="E55" s="1"/>
  <c r="D46"/>
  <c r="G45"/>
  <c r="D45"/>
  <c r="D43" s="1"/>
  <c r="G44"/>
  <c r="E44"/>
  <c r="F43"/>
  <c r="F47" s="1"/>
  <c r="E42"/>
  <c r="E41"/>
  <c r="G40"/>
  <c r="E40" s="1"/>
  <c r="E39" s="1"/>
  <c r="F39"/>
  <c r="G38"/>
  <c r="G36" s="1"/>
  <c r="F38"/>
  <c r="F36"/>
  <c r="D38"/>
  <c r="E38" s="1"/>
  <c r="E36" s="1"/>
  <c r="E37"/>
  <c r="D34"/>
  <c r="E34" s="1"/>
  <c r="E33"/>
  <c r="E32"/>
  <c r="F31"/>
  <c r="E30"/>
  <c r="D29"/>
  <c r="E29"/>
  <c r="D28"/>
  <c r="E28" s="1"/>
  <c r="E27" s="1"/>
  <c r="G27"/>
  <c r="F27"/>
  <c r="E26"/>
  <c r="E25"/>
  <c r="F24"/>
  <c r="D24"/>
  <c r="E24"/>
  <c r="D23"/>
  <c r="E23" s="1"/>
  <c r="G22"/>
  <c r="F22"/>
  <c r="E21"/>
  <c r="D20"/>
  <c r="E20"/>
  <c r="F19"/>
  <c r="D19"/>
  <c r="E19"/>
  <c r="E18"/>
  <c r="G17"/>
  <c r="F17"/>
  <c r="F50" s="1"/>
  <c r="F56" s="1"/>
  <c r="D17"/>
  <c r="E17"/>
  <c r="G16"/>
  <c r="F16"/>
  <c r="I49" i="34"/>
  <c r="I51"/>
  <c r="D42"/>
  <c r="C42"/>
  <c r="D46"/>
  <c r="D25"/>
  <c r="D22"/>
  <c r="D51" s="1"/>
  <c r="D35"/>
  <c r="C35"/>
  <c r="D36"/>
  <c r="D37"/>
  <c r="G17"/>
  <c r="C17"/>
  <c r="G48"/>
  <c r="C48"/>
  <c r="G47"/>
  <c r="G46"/>
  <c r="C46" s="1"/>
  <c r="G39"/>
  <c r="C39"/>
  <c r="G38"/>
  <c r="C38"/>
  <c r="G37"/>
  <c r="G36"/>
  <c r="C36" s="1"/>
  <c r="G27"/>
  <c r="C27"/>
  <c r="G25"/>
  <c r="C25"/>
  <c r="G23"/>
  <c r="G22"/>
  <c r="G21"/>
  <c r="G20"/>
  <c r="G19"/>
  <c r="G18"/>
  <c r="C18" s="1"/>
  <c r="G16"/>
  <c r="F49" i="6"/>
  <c r="C49"/>
  <c r="E48"/>
  <c r="C48"/>
  <c r="D48"/>
  <c r="C47"/>
  <c r="C46"/>
  <c r="D46" s="1"/>
  <c r="F45"/>
  <c r="C45"/>
  <c r="F44"/>
  <c r="D44" s="1"/>
  <c r="E42"/>
  <c r="C42"/>
  <c r="C39"/>
  <c r="C38"/>
  <c r="C37"/>
  <c r="C36"/>
  <c r="D36"/>
  <c r="C35"/>
  <c r="D35"/>
  <c r="C34"/>
  <c r="C33"/>
  <c r="D33" s="1"/>
  <c r="C32"/>
  <c r="C29"/>
  <c r="C28"/>
  <c r="C27"/>
  <c r="F25"/>
  <c r="C25"/>
  <c r="D25" s="1"/>
  <c r="C23"/>
  <c r="D23"/>
  <c r="C22"/>
  <c r="F22"/>
  <c r="C21"/>
  <c r="D21"/>
  <c r="C20"/>
  <c r="D20"/>
  <c r="C19"/>
  <c r="E19"/>
  <c r="E18"/>
  <c r="C18"/>
  <c r="E17"/>
  <c r="C17"/>
  <c r="E16"/>
  <c r="C16"/>
  <c r="C30" i="22"/>
  <c r="C27" s="1"/>
  <c r="C31"/>
  <c r="E33" i="6"/>
  <c r="H20" i="34"/>
  <c r="C20"/>
  <c r="C51" i="22"/>
  <c r="F53" i="15"/>
  <c r="C19" i="34"/>
  <c r="C21"/>
  <c r="C22"/>
  <c r="C23"/>
  <c r="C24"/>
  <c r="C26"/>
  <c r="C28"/>
  <c r="C29"/>
  <c r="C30"/>
  <c r="C31"/>
  <c r="C32"/>
  <c r="C33"/>
  <c r="C34"/>
  <c r="C40"/>
  <c r="C41"/>
  <c r="C43"/>
  <c r="C44"/>
  <c r="C45"/>
  <c r="C47"/>
  <c r="H49"/>
  <c r="H25"/>
  <c r="H16"/>
  <c r="C16" s="1"/>
  <c r="E49" i="6"/>
  <c r="E46"/>
  <c r="E27"/>
  <c r="E25"/>
  <c r="E24"/>
  <c r="C24"/>
  <c r="E23"/>
  <c r="E22"/>
  <c r="E21"/>
  <c r="E20"/>
  <c r="E51"/>
  <c r="C50" i="34"/>
  <c r="C50" i="6"/>
  <c r="E51" i="34"/>
  <c r="F51"/>
  <c r="F52" i="15"/>
  <c r="G52"/>
  <c r="D52"/>
  <c r="D32" i="6"/>
  <c r="C46" i="22"/>
  <c r="C32" s="1"/>
  <c r="C43"/>
  <c r="C39"/>
  <c r="C35"/>
  <c r="C23"/>
  <c r="C17"/>
  <c r="C15"/>
  <c r="C14" s="1"/>
  <c r="G54" i="15"/>
  <c r="D17" i="6"/>
  <c r="E51" i="15"/>
  <c r="E52"/>
  <c r="D51"/>
  <c r="F51"/>
  <c r="G51"/>
  <c r="G53"/>
  <c r="F54"/>
  <c r="D55"/>
  <c r="F55"/>
  <c r="G55"/>
  <c r="D18" i="6"/>
  <c r="D22"/>
  <c r="D24"/>
  <c r="D26"/>
  <c r="D27"/>
  <c r="D28"/>
  <c r="D29"/>
  <c r="D30"/>
  <c r="D31"/>
  <c r="D34"/>
  <c r="D37"/>
  <c r="D38"/>
  <c r="D39"/>
  <c r="D40"/>
  <c r="D41"/>
  <c r="D42"/>
  <c r="D43"/>
  <c r="D45"/>
  <c r="D47"/>
  <c r="D53" i="15"/>
  <c r="G50"/>
  <c r="G56" s="1"/>
  <c r="D16" i="6"/>
  <c r="D54" i="15"/>
  <c r="H51" i="34"/>
  <c r="C37"/>
  <c r="G51"/>
  <c r="D49" i="6"/>
  <c r="F51"/>
  <c r="C51"/>
  <c r="D19"/>
  <c r="G43" i="15"/>
  <c r="E45"/>
  <c r="E43" s="1"/>
  <c r="E16"/>
  <c r="D16"/>
  <c r="D22"/>
  <c r="D27"/>
  <c r="D50"/>
  <c r="D56" s="1"/>
  <c r="D39"/>
  <c r="C49" i="34"/>
  <c r="E22" i="15" l="1"/>
  <c r="E50"/>
  <c r="E54"/>
  <c r="E31"/>
  <c r="D51" i="6"/>
  <c r="C50" i="22"/>
  <c r="C51" i="34"/>
  <c r="E53" i="15"/>
  <c r="E47"/>
  <c r="D36"/>
  <c r="D47" s="1"/>
  <c r="D31"/>
  <c r="G39"/>
  <c r="G47" s="1"/>
  <c r="E56" l="1"/>
</calcChain>
</file>

<file path=xl/sharedStrings.xml><?xml version="1.0" encoding="utf-8"?>
<sst xmlns="http://schemas.openxmlformats.org/spreadsheetml/2006/main" count="368" uniqueCount="199">
  <si>
    <t>Eil.Nr.</t>
  </si>
  <si>
    <t>Programos Nr.</t>
  </si>
  <si>
    <t>Iš viso</t>
  </si>
  <si>
    <t>Iš jų:</t>
  </si>
  <si>
    <t>2</t>
  </si>
  <si>
    <t>Prienų rajono savivaldybės tarybos</t>
  </si>
  <si>
    <t>darbo užmokesčiui</t>
  </si>
  <si>
    <t>02</t>
  </si>
  <si>
    <t>01</t>
  </si>
  <si>
    <t>Ugdymo kokybės ir mokymosi aplinkos užtikrinimo programa</t>
  </si>
  <si>
    <t>Prienų ,,Žiburio“ gimnazija</t>
  </si>
  <si>
    <t>Prienų r. Išlaužo pagrindinė mokykla</t>
  </si>
  <si>
    <t>Prienų lopšelis-darželis ,,Gintarėlis“</t>
  </si>
  <si>
    <t>Prienų lopšelis-darželis ,,Pasaka“</t>
  </si>
  <si>
    <t>Socialinės paramos ir sveikatos apsaugos paslaugų kokybės gerinimo programa</t>
  </si>
  <si>
    <t>04</t>
  </si>
  <si>
    <t>Savivaldybės pagrindinių funkcijų vykdymo ir valdymo tobulinimo programa</t>
  </si>
  <si>
    <t>05</t>
  </si>
  <si>
    <t>______________________</t>
  </si>
  <si>
    <t>ilgalaikiam turtui</t>
  </si>
  <si>
    <t>Prienų meno mokykla</t>
  </si>
  <si>
    <t>03</t>
  </si>
  <si>
    <t>Prienų krašto muziejus</t>
  </si>
  <si>
    <t>Jiezno kultūros ir laisvalaikio centras</t>
  </si>
  <si>
    <t>Veiverių kultūros ir laisvalaikio centras</t>
  </si>
  <si>
    <t>Prienų r. sav. kūno kultūros ir sporto centras</t>
  </si>
  <si>
    <t>Prienų rajono savivaldybės administracija:</t>
  </si>
  <si>
    <t>Prienų kultūros ir laisvalaikio centras</t>
  </si>
  <si>
    <t>06</t>
  </si>
  <si>
    <t>07</t>
  </si>
  <si>
    <t>Investicijų programa</t>
  </si>
  <si>
    <t>Prienų globos namai</t>
  </si>
  <si>
    <t>Eil. Nr.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</si>
  <si>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</si>
  <si>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</si>
  <si>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</si>
  <si>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</si>
  <si>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</si>
  <si>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</si>
  <si>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</si>
  <si>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</si>
  <si>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</si>
  <si>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</si>
  <si>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</si>
  <si>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</si>
  <si>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</si>
  <si>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</si>
  <si>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</si>
  <si>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</si>
  <si>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</si>
  <si>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</si>
  <si>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</si>
  <si>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</si>
  <si>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</si>
  <si>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</si>
  <si>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</si>
  <si>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</si>
  <si>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</si>
  <si>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</si>
  <si>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</si>
  <si>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Aplinkos apsaugos, verslo rėmimo ir kaimo plėtros programa</t>
  </si>
  <si>
    <t>Programa / Finansavimo šaltiniai</t>
  </si>
  <si>
    <t>Biudžeto lėšos</t>
  </si>
  <si>
    <t>Valstybinėms funkcijoms atlikti</t>
  </si>
  <si>
    <t>Biudžetinių įstaigų pajamos</t>
  </si>
  <si>
    <t>Asignavimų valdytojas</t>
  </si>
  <si>
    <t>Prienų r. sav. socialinių paslaugų centras</t>
  </si>
  <si>
    <t>Prienų lopšelis-darželis ,,Saulutė“</t>
  </si>
  <si>
    <t>išlaidoms</t>
  </si>
  <si>
    <t>iš viso</t>
  </si>
  <si>
    <t>Asignavimai</t>
  </si>
  <si>
    <t>Balbieriškio kultūros ir laisvalaikio centras</t>
  </si>
  <si>
    <t>Iš viso asignavimų</t>
  </si>
  <si>
    <t>3 priedas</t>
  </si>
  <si>
    <t>I.</t>
  </si>
  <si>
    <t>MOKESČIAI:</t>
  </si>
  <si>
    <t>Pajamų ir pelno mokesčiai iš viso:</t>
  </si>
  <si>
    <t>1.1.</t>
  </si>
  <si>
    <t>gyventojų pajamų mokestis (gautas iš VMI)</t>
  </si>
  <si>
    <t>1.2.</t>
  </si>
  <si>
    <t>1.3.</t>
  </si>
  <si>
    <t>2.1.</t>
  </si>
  <si>
    <t>2.2.</t>
  </si>
  <si>
    <t>fizinių asmenų</t>
  </si>
  <si>
    <t>2.3.</t>
  </si>
  <si>
    <t>juridinių asmenų</t>
  </si>
  <si>
    <t>paveldimo turto mokestis</t>
  </si>
  <si>
    <t>nekilnojamojo turto mokestis</t>
  </si>
  <si>
    <t>Prekių ir paslaugų mokesčiai:</t>
  </si>
  <si>
    <t>3.1.</t>
  </si>
  <si>
    <t>mokestis už aplinkos teršimą</t>
  </si>
  <si>
    <t>3.2.</t>
  </si>
  <si>
    <t>valstybės rinkliavos</t>
  </si>
  <si>
    <t>3.3.</t>
  </si>
  <si>
    <t>vietinės rinkliavos</t>
  </si>
  <si>
    <t>II.</t>
  </si>
  <si>
    <t>valstybinėms (perduotoms savivaldybėms) funkcijoms atlikti</t>
  </si>
  <si>
    <t>kita tikslinė dotacija</t>
  </si>
  <si>
    <t>III.</t>
  </si>
  <si>
    <t>KITOS PAJAMOS:</t>
  </si>
  <si>
    <t>nuomos mokestis už valstybinę žemę ir valstybinius vidaus vandenų telkinius</t>
  </si>
  <si>
    <t>mokesčiai už valstybinius gamtos išteklius</t>
  </si>
  <si>
    <t>mokestis už medžiojamųjų gyvūnų išteklius</t>
  </si>
  <si>
    <t>Pajamos už prekes ir paslaugas:</t>
  </si>
  <si>
    <t>įmokos už išlaikymą švietimo, socialinės apsaugos ir kitose įstaigose</t>
  </si>
  <si>
    <t>Pajamos iš baudų ir konfiskacijos:</t>
  </si>
  <si>
    <t>pajamos iš baudų ir konfiskacijos</t>
  </si>
  <si>
    <t>Kitos neišvardintos pajamos</t>
  </si>
  <si>
    <t>Ilgalaikio materialiojo turto realizavimo pajamos:</t>
  </si>
  <si>
    <t>žemės ir žemės gelmių išteklių realizavimo pajamos</t>
  </si>
  <si>
    <t>kito ilgalaikio materialiojo turto realizavimo pajamos</t>
  </si>
  <si>
    <t>IV.</t>
  </si>
  <si>
    <t>IŠ VISO PAJAMŲ</t>
  </si>
  <si>
    <t>___________________________</t>
  </si>
  <si>
    <t>Pajamų pavadinimas</t>
  </si>
  <si>
    <t>28.</t>
  </si>
  <si>
    <t>29.</t>
  </si>
  <si>
    <t>30.</t>
  </si>
  <si>
    <t>31.</t>
  </si>
  <si>
    <t>32.</t>
  </si>
  <si>
    <t>33.</t>
  </si>
  <si>
    <t>34.</t>
  </si>
  <si>
    <t>35.</t>
  </si>
  <si>
    <t>2.1.1.</t>
  </si>
  <si>
    <t>2.1.2.</t>
  </si>
  <si>
    <t>Prienų r. sav. visuomenės sveikatos biuras</t>
  </si>
  <si>
    <t>Stakliškių kultūros ir laisvalaikio centras</t>
  </si>
  <si>
    <t>Prienų r. sav. kontrolės ir audito tarnyba</t>
  </si>
  <si>
    <t>Prienų r. sav. administracijos Finansų skyrius</t>
  </si>
  <si>
    <t>Viešosios infrastruktūros ir priežiūros plėtros programa</t>
  </si>
  <si>
    <r>
      <t>Turto mokesčiai</t>
    </r>
    <r>
      <rPr>
        <sz val="10"/>
        <rFont val="Times New Roman"/>
        <family val="1"/>
        <charset val="186"/>
      </rPr>
      <t>:</t>
    </r>
  </si>
  <si>
    <t>Prienų r. sav. priešgaisrinė tarnyba</t>
  </si>
  <si>
    <t>Prienų Justino Marcinkevičiaus viešoji biblioteka</t>
  </si>
  <si>
    <t>Prienų r. Veiverių Antano Kučingio meno mokykla</t>
  </si>
  <si>
    <t>Prienų r. Jiezno gimnazija</t>
  </si>
  <si>
    <t>Prienų r. Veiverių Tomo Žilinsko gimnazija</t>
  </si>
  <si>
    <t>Prienų r. Pakuonio pagrindinė mokykla</t>
  </si>
  <si>
    <t>Prienų r. Skriaudžių pagrindinė mokykla</t>
  </si>
  <si>
    <t>Prienų r. Jiezno muzikos mokykla</t>
  </si>
  <si>
    <t>Prienų r. Balbieriškio pagrindinė mokykla</t>
  </si>
  <si>
    <t>V.</t>
  </si>
  <si>
    <t>Prienų r. Stakliškių gimnazija</t>
  </si>
  <si>
    <t>Prienų ,,Ąžuolo“ progimnazija</t>
  </si>
  <si>
    <t>Prienų r. Šilavoto pagrindinė mokykla</t>
  </si>
  <si>
    <t>(eurais)</t>
  </si>
  <si>
    <t>Kitos tikslinės dotacijos</t>
  </si>
  <si>
    <t>Europos Sąjungos finansinė parama</t>
  </si>
  <si>
    <t xml:space="preserve">Pajamos </t>
  </si>
  <si>
    <t>1 priedas</t>
  </si>
  <si>
    <t>Palūkanos už depozitus</t>
  </si>
  <si>
    <t>4.1.</t>
  </si>
  <si>
    <t>2 priedas</t>
  </si>
  <si>
    <t>4 priedas</t>
  </si>
  <si>
    <t>Prienų švietimo pagalbos tarnyba</t>
  </si>
  <si>
    <t>biudžetinių įstaigų pajamos už prekes ir paslaugas</t>
  </si>
  <si>
    <t>Prienų r. Jiezno paramos šeimai centras</t>
  </si>
  <si>
    <t>EUROPOS SĄJUNGOS FONDŲ LĖŠOS</t>
  </si>
  <si>
    <t>Mokymo lėšos</t>
  </si>
  <si>
    <t>Praėjusių metų nepanaudota pajamų dalis</t>
  </si>
  <si>
    <t>Iš viso asignavimų pagal šaltinius</t>
  </si>
  <si>
    <t>4.2.</t>
  </si>
  <si>
    <t>4.3.</t>
  </si>
  <si>
    <t>5.1.</t>
  </si>
  <si>
    <t>7.1.</t>
  </si>
  <si>
    <t>7.2.</t>
  </si>
  <si>
    <t>Kultūros, sporto, jaunimo ir bendruomenės veiklos aktyvinimo programa</t>
  </si>
  <si>
    <t>2021 m. sausio 28 d.</t>
  </si>
  <si>
    <t>PRIENŲ RAJONO SAVIVALDYBĖS 2021 METŲ BIUDŽETO PAJAMŲ PLANAS</t>
  </si>
  <si>
    <t>žemės mokestis, iš jų:</t>
  </si>
  <si>
    <t>SPECIALI TIKSLINĖ DOTACIJA, IŠ JOS:</t>
  </si>
  <si>
    <t>mokinio krepšeliui finansuoti</t>
  </si>
  <si>
    <t>Dividendai ir kitos pelno įmokos</t>
  </si>
  <si>
    <t xml:space="preserve">PRIENŲ RAJONO SAVIVALDYBĖS 2021 METŲ BIUDŽETO IŠLAIDOS                                                                                                                PAGAL  PROGRAMAS IR FINANSAVIMO ŠALTINIUS </t>
  </si>
  <si>
    <t>ES finansinė parama</t>
  </si>
  <si>
    <t xml:space="preserve">PRIENŲ RAJONO SAVIVALDYBĖS 2021 METŲ BIUDŽETO IŠLAIDOS PAGAL ASIGNAVIMŲ VALDYTOJUS </t>
  </si>
  <si>
    <t>1.4.</t>
  </si>
  <si>
    <t>1.5.</t>
  </si>
  <si>
    <t>2.4.</t>
  </si>
  <si>
    <t>4.4.</t>
  </si>
  <si>
    <t>5.2.</t>
  </si>
  <si>
    <t>6.1.</t>
  </si>
  <si>
    <t>6.2.</t>
  </si>
  <si>
    <t>6.3.</t>
  </si>
  <si>
    <t>6.4.</t>
  </si>
  <si>
    <t>6.5.</t>
  </si>
  <si>
    <t>6.6.</t>
  </si>
  <si>
    <t>_____________________</t>
  </si>
  <si>
    <t>PAGAL ASIGNAVIMŲ VALDYTOJUS IR FINANSAVIMO ŠALTINIUS</t>
  </si>
  <si>
    <t xml:space="preserve">PRIENŲ RAJONO SAVIVALDYBĖS 2021 METŲ BIUDŽETO IŠLAIDOS  </t>
  </si>
  <si>
    <t>pajamos už ilgalaikio ir trumpalaikio materialiojo turto nuomą</t>
  </si>
  <si>
    <t>Prienų ,,Revuonos“ pagrindinė mokykla</t>
  </si>
  <si>
    <t xml:space="preserve">      iš jų Mero fondas</t>
  </si>
  <si>
    <r>
      <t xml:space="preserve">      iš jų</t>
    </r>
    <r>
      <rPr>
        <sz val="10"/>
        <color indexed="10"/>
        <rFont val="Times New Roman"/>
        <family val="1"/>
        <charset val="186"/>
      </rPr>
      <t xml:space="preserve"> </t>
    </r>
    <r>
      <rPr>
        <sz val="10"/>
        <rFont val="Times New Roman"/>
        <family val="1"/>
      </rPr>
      <t>Mero fondas</t>
    </r>
  </si>
  <si>
    <t xml:space="preserve">(Prienų rajono savivaldybės tarybos </t>
  </si>
  <si>
    <t>sprendimo Nr. T3-2</t>
  </si>
  <si>
    <t>2021 m. balandžio 29 d.</t>
  </si>
  <si>
    <t>Nuomos pajamos:</t>
  </si>
  <si>
    <t>Dotacija 2020 metų negautoms pajamoms kompensuoti</t>
  </si>
  <si>
    <t>sprendimo Nr. T3-105 redakcija)</t>
  </si>
</sst>
</file>

<file path=xl/styles.xml><?xml version="1.0" encoding="utf-8"?>
<styleSheet xmlns="http://schemas.openxmlformats.org/spreadsheetml/2006/main">
  <numFmts count="2">
    <numFmt numFmtId="170" formatCode="_-* #,##0.00\ &quot;Lt&quot;_-;\-* #,##0.00\ &quot;Lt&quot;_-;_-* &quot;-&quot;??\ &quot;Lt&quot;_-;_-@_-"/>
    <numFmt numFmtId="175" formatCode="0.0"/>
  </numFmts>
  <fonts count="11">
    <font>
      <sz val="10"/>
      <name val="Arial"/>
      <charset val="186"/>
    </font>
    <font>
      <sz val="10"/>
      <name val="Arial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8"/>
      <name val="Arial"/>
      <family val="2"/>
      <charset val="186"/>
    </font>
    <font>
      <sz val="10"/>
      <name val="Arial"/>
      <family val="2"/>
      <charset val="186"/>
    </font>
    <font>
      <sz val="10"/>
      <name val="Arial"/>
      <family val="2"/>
      <charset val="186"/>
    </font>
    <font>
      <b/>
      <sz val="10"/>
      <name val="Times New Roman"/>
      <family val="1"/>
    </font>
    <font>
      <sz val="10"/>
      <name val="Arial"/>
      <family val="2"/>
    </font>
    <font>
      <sz val="10"/>
      <name val="Times New Roman"/>
      <family val="1"/>
    </font>
    <font>
      <sz val="10"/>
      <color indexed="1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70" fontId="1" fillId="0" borderId="0" applyFont="0" applyFill="0" applyBorder="0" applyAlignment="0" applyProtection="0"/>
  </cellStyleXfs>
  <cellXfs count="121">
    <xf numFmtId="0" fontId="0" fillId="0" borderId="0" xfId="0"/>
    <xf numFmtId="0" fontId="2" fillId="0" borderId="0" xfId="0" applyFont="1" applyFill="1"/>
    <xf numFmtId="49" fontId="2" fillId="0" borderId="0" xfId="0" applyNumberFormat="1" applyFont="1" applyFill="1" applyAlignment="1">
      <alignment horizontal="center"/>
    </xf>
    <xf numFmtId="0" fontId="2" fillId="0" borderId="0" xfId="0" applyFont="1" applyFill="1" applyAlignment="1">
      <alignment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left" vertical="center" wrapText="1"/>
    </xf>
    <xf numFmtId="0" fontId="2" fillId="0" borderId="0" xfId="0" applyFont="1" applyFill="1" applyAlignment="1"/>
    <xf numFmtId="0" fontId="3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right" vertical="center" wrapText="1"/>
    </xf>
    <xf numFmtId="1" fontId="2" fillId="2" borderId="1" xfId="0" applyNumberFormat="1" applyFont="1" applyFill="1" applyBorder="1" applyAlignment="1">
      <alignment horizontal="right"/>
    </xf>
    <xf numFmtId="175" fontId="3" fillId="0" borderId="4" xfId="0" applyNumberFormat="1" applyFont="1" applyFill="1" applyBorder="1" applyAlignment="1">
      <alignment wrapText="1"/>
    </xf>
    <xf numFmtId="1" fontId="2" fillId="0" borderId="1" xfId="0" applyNumberFormat="1" applyFont="1" applyFill="1" applyBorder="1" applyAlignment="1">
      <alignment horizontal="right"/>
    </xf>
    <xf numFmtId="1" fontId="2" fillId="0" borderId="2" xfId="0" applyNumberFormat="1" applyFont="1" applyFill="1" applyBorder="1" applyAlignment="1">
      <alignment horizontal="right"/>
    </xf>
    <xf numFmtId="1" fontId="3" fillId="0" borderId="1" xfId="0" applyNumberFormat="1" applyFont="1" applyFill="1" applyBorder="1" applyAlignment="1">
      <alignment horizontal="right"/>
    </xf>
    <xf numFmtId="1" fontId="2" fillId="0" borderId="1" xfId="0" applyNumberFormat="1" applyFont="1" applyFill="1" applyBorder="1" applyAlignment="1">
      <alignment horizontal="right" vertical="top"/>
    </xf>
    <xf numFmtId="49" fontId="3" fillId="0" borderId="0" xfId="0" applyNumberFormat="1" applyFont="1" applyFill="1" applyAlignment="1">
      <alignment horizontal="center" wrapText="1"/>
    </xf>
    <xf numFmtId="0" fontId="2" fillId="0" borderId="0" xfId="0" applyFont="1" applyFill="1" applyAlignment="1">
      <alignment vertical="top" wrapText="1"/>
    </xf>
    <xf numFmtId="0" fontId="2" fillId="0" borderId="3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right" vertical="top" wrapText="1"/>
    </xf>
    <xf numFmtId="0" fontId="2" fillId="0" borderId="0" xfId="0" applyFont="1"/>
    <xf numFmtId="49" fontId="3" fillId="0" borderId="0" xfId="0" applyNumberFormat="1" applyFont="1" applyFill="1" applyAlignment="1">
      <alignment wrapText="1"/>
    </xf>
    <xf numFmtId="0" fontId="2" fillId="0" borderId="2" xfId="0" applyFont="1" applyBorder="1" applyAlignment="1">
      <alignment horizontal="left" vertical="top" wrapText="1"/>
    </xf>
    <xf numFmtId="0" fontId="2" fillId="0" borderId="2" xfId="0" applyFont="1" applyBorder="1" applyAlignment="1">
      <alignment vertical="top" wrapText="1"/>
    </xf>
    <xf numFmtId="0" fontId="2" fillId="0" borderId="5" xfId="0" applyFont="1" applyFill="1" applyBorder="1" applyAlignment="1">
      <alignment horizontal="center" vertical="center"/>
    </xf>
    <xf numFmtId="49" fontId="3" fillId="0" borderId="6" xfId="0" applyNumberFormat="1" applyFont="1" applyFill="1" applyBorder="1" applyAlignment="1">
      <alignment horizontal="center" vertical="center" wrapText="1"/>
    </xf>
    <xf numFmtId="175" fontId="3" fillId="0" borderId="7" xfId="0" applyNumberFormat="1" applyFont="1" applyFill="1" applyBorder="1" applyAlignment="1">
      <alignment wrapText="1"/>
    </xf>
    <xf numFmtId="0" fontId="3" fillId="0" borderId="1" xfId="0" applyFont="1" applyFill="1" applyBorder="1" applyAlignment="1">
      <alignment horizontal="right" vertical="top" wrapText="1"/>
    </xf>
    <xf numFmtId="1" fontId="3" fillId="0" borderId="1" xfId="0" applyNumberFormat="1" applyFont="1" applyFill="1" applyBorder="1" applyAlignment="1">
      <alignment horizontal="right" vertical="top"/>
    </xf>
    <xf numFmtId="0" fontId="5" fillId="0" borderId="0" xfId="0" applyFont="1"/>
    <xf numFmtId="0" fontId="6" fillId="0" borderId="0" xfId="0" applyFont="1"/>
    <xf numFmtId="0" fontId="3" fillId="0" borderId="7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top" wrapText="1"/>
    </xf>
    <xf numFmtId="1" fontId="3" fillId="0" borderId="2" xfId="0" applyNumberFormat="1" applyFont="1" applyFill="1" applyBorder="1" applyAlignment="1">
      <alignment horizontal="right"/>
    </xf>
    <xf numFmtId="1" fontId="3" fillId="0" borderId="2" xfId="0" applyNumberFormat="1" applyFont="1" applyFill="1" applyBorder="1" applyAlignment="1">
      <alignment horizontal="right" vertical="top"/>
    </xf>
    <xf numFmtId="0" fontId="2" fillId="0" borderId="2" xfId="0" applyFont="1" applyFill="1" applyBorder="1" applyAlignment="1">
      <alignment horizontal="left" vertical="center" wrapText="1"/>
    </xf>
    <xf numFmtId="0" fontId="2" fillId="0" borderId="2" xfId="0" applyFont="1" applyFill="1" applyBorder="1"/>
    <xf numFmtId="0" fontId="3" fillId="0" borderId="2" xfId="0" applyFont="1" applyBorder="1" applyAlignment="1">
      <alignment horizontal="right"/>
    </xf>
    <xf numFmtId="0" fontId="3" fillId="0" borderId="2" xfId="0" applyFont="1" applyBorder="1" applyAlignment="1">
      <alignment vertical="top" wrapText="1"/>
    </xf>
    <xf numFmtId="0" fontId="2" fillId="0" borderId="2" xfId="0" applyFont="1" applyBorder="1" applyAlignment="1">
      <alignment horizontal="justify" vertical="top" wrapText="1"/>
    </xf>
    <xf numFmtId="0" fontId="3" fillId="0" borderId="2" xfId="0" applyFont="1" applyBorder="1" applyAlignment="1">
      <alignment horizontal="justify" vertical="top" wrapText="1"/>
    </xf>
    <xf numFmtId="170" fontId="0" fillId="0" borderId="0" xfId="1" applyFont="1"/>
    <xf numFmtId="0" fontId="2" fillId="0" borderId="0" xfId="0" applyFont="1" applyAlignment="1">
      <alignment horizontal="right"/>
    </xf>
    <xf numFmtId="49" fontId="3" fillId="0" borderId="2" xfId="0" applyNumberFormat="1" applyFont="1" applyFill="1" applyBorder="1" applyAlignment="1">
      <alignment horizontal="right" vertical="center" wrapText="1"/>
    </xf>
    <xf numFmtId="1" fontId="2" fillId="0" borderId="7" xfId="0" applyNumberFormat="1" applyFont="1" applyFill="1" applyBorder="1" applyAlignment="1">
      <alignment horizontal="right"/>
    </xf>
    <xf numFmtId="0" fontId="2" fillId="0" borderId="2" xfId="0" applyFont="1" applyBorder="1"/>
    <xf numFmtId="1" fontId="2" fillId="3" borderId="1" xfId="0" applyNumberFormat="1" applyFont="1" applyFill="1" applyBorder="1" applyAlignment="1">
      <alignment horizontal="right"/>
    </xf>
    <xf numFmtId="0" fontId="2" fillId="0" borderId="0" xfId="0" applyFont="1" applyFill="1" applyAlignment="1">
      <alignment horizontal="left"/>
    </xf>
    <xf numFmtId="1" fontId="2" fillId="0" borderId="2" xfId="0" applyNumberFormat="1" applyFont="1" applyBorder="1"/>
    <xf numFmtId="1" fontId="3" fillId="0" borderId="2" xfId="0" applyNumberFormat="1" applyFont="1" applyBorder="1"/>
    <xf numFmtId="1" fontId="2" fillId="0" borderId="1" xfId="0" applyNumberFormat="1" applyFont="1" applyFill="1" applyBorder="1" applyAlignment="1">
      <alignment horizontal="right" vertical="center" wrapText="1"/>
    </xf>
    <xf numFmtId="1" fontId="2" fillId="0" borderId="2" xfId="0" applyNumberFormat="1" applyFont="1" applyFill="1" applyBorder="1"/>
    <xf numFmtId="0" fontId="8" fillId="0" borderId="0" xfId="0" applyFont="1"/>
    <xf numFmtId="170" fontId="8" fillId="0" borderId="0" xfId="1" applyFont="1"/>
    <xf numFmtId="0" fontId="2" fillId="0" borderId="8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0" fontId="2" fillId="0" borderId="0" xfId="0" applyFont="1" applyBorder="1" applyAlignment="1"/>
    <xf numFmtId="0" fontId="9" fillId="0" borderId="3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right" vertical="center" wrapText="1"/>
    </xf>
    <xf numFmtId="0" fontId="9" fillId="0" borderId="1" xfId="0" applyFont="1" applyFill="1" applyBorder="1" applyAlignment="1">
      <alignment horizontal="right" vertical="center" wrapText="1"/>
    </xf>
    <xf numFmtId="0" fontId="9" fillId="0" borderId="3" xfId="0" applyFont="1" applyFill="1" applyBorder="1" applyAlignment="1">
      <alignment horizontal="center" vertical="top"/>
    </xf>
    <xf numFmtId="0" fontId="9" fillId="2" borderId="1" xfId="0" applyFont="1" applyFill="1" applyBorder="1" applyAlignment="1">
      <alignment horizontal="right" vertical="top" wrapText="1"/>
    </xf>
    <xf numFmtId="0" fontId="9" fillId="0" borderId="1" xfId="0" applyFont="1" applyFill="1" applyBorder="1" applyAlignment="1">
      <alignment horizontal="right" vertical="top" wrapText="1"/>
    </xf>
    <xf numFmtId="175" fontId="9" fillId="0" borderId="4" xfId="0" applyNumberFormat="1" applyFont="1" applyFill="1" applyBorder="1" applyAlignment="1">
      <alignment wrapText="1"/>
    </xf>
    <xf numFmtId="1" fontId="9" fillId="0" borderId="2" xfId="0" applyNumberFormat="1" applyFont="1" applyFill="1" applyBorder="1" applyAlignment="1">
      <alignment horizontal="right"/>
    </xf>
    <xf numFmtId="1" fontId="9" fillId="0" borderId="1" xfId="0" applyNumberFormat="1" applyFont="1" applyFill="1" applyBorder="1" applyAlignment="1">
      <alignment horizontal="right"/>
    </xf>
    <xf numFmtId="1" fontId="9" fillId="0" borderId="2" xfId="0" applyNumberFormat="1" applyFont="1" applyFill="1" applyBorder="1" applyAlignment="1">
      <alignment horizontal="right" vertical="top"/>
    </xf>
    <xf numFmtId="1" fontId="9" fillId="0" borderId="1" xfId="0" applyNumberFormat="1" applyFont="1" applyFill="1" applyBorder="1" applyAlignment="1">
      <alignment horizontal="right" vertical="top"/>
    </xf>
    <xf numFmtId="175" fontId="9" fillId="0" borderId="2" xfId="0" applyNumberFormat="1" applyFont="1" applyFill="1" applyBorder="1" applyAlignment="1">
      <alignment wrapText="1"/>
    </xf>
    <xf numFmtId="0" fontId="9" fillId="0" borderId="2" xfId="0" applyFont="1" applyFill="1" applyBorder="1" applyAlignment="1">
      <alignment horizontal="center" vertical="top"/>
    </xf>
    <xf numFmtId="175" fontId="9" fillId="0" borderId="2" xfId="0" applyNumberFormat="1" applyFont="1" applyFill="1" applyBorder="1" applyAlignment="1">
      <alignment horizontal="left" wrapText="1"/>
    </xf>
    <xf numFmtId="175" fontId="9" fillId="0" borderId="8" xfId="0" applyNumberFormat="1" applyFont="1" applyFill="1" applyBorder="1" applyAlignment="1">
      <alignment wrapText="1"/>
    </xf>
    <xf numFmtId="175" fontId="9" fillId="0" borderId="4" xfId="0" applyNumberFormat="1" applyFont="1" applyFill="1" applyBorder="1" applyAlignment="1">
      <alignment vertical="top" wrapText="1"/>
    </xf>
    <xf numFmtId="0" fontId="9" fillId="2" borderId="2" xfId="0" applyFont="1" applyFill="1" applyBorder="1" applyAlignment="1">
      <alignment horizontal="right" vertical="center" wrapText="1"/>
    </xf>
    <xf numFmtId="0" fontId="9" fillId="2" borderId="3" xfId="0" applyFont="1" applyFill="1" applyBorder="1" applyAlignment="1">
      <alignment horizontal="right" vertical="center" wrapText="1"/>
    </xf>
    <xf numFmtId="0" fontId="3" fillId="0" borderId="9" xfId="0" applyFont="1" applyBorder="1" applyAlignment="1">
      <alignment horizontal="center" vertical="top" wrapText="1"/>
    </xf>
    <xf numFmtId="0" fontId="3" fillId="0" borderId="10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0" xfId="0" applyFont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left"/>
    </xf>
    <xf numFmtId="0" fontId="2" fillId="0" borderId="11" xfId="0" applyFont="1" applyFill="1" applyBorder="1" applyAlignment="1">
      <alignment horizontal="center" vertical="top"/>
    </xf>
    <xf numFmtId="49" fontId="3" fillId="0" borderId="0" xfId="0" applyNumberFormat="1" applyFont="1" applyFill="1" applyAlignment="1">
      <alignment horizontal="center" wrapText="1"/>
    </xf>
    <xf numFmtId="0" fontId="2" fillId="0" borderId="0" xfId="0" applyFont="1" applyBorder="1" applyAlignment="1">
      <alignment horizontal="center"/>
    </xf>
    <xf numFmtId="0" fontId="2" fillId="0" borderId="4" xfId="0" applyFont="1" applyFill="1" applyBorder="1" applyAlignment="1">
      <alignment horizontal="right"/>
    </xf>
    <xf numFmtId="0" fontId="3" fillId="0" borderId="9" xfId="0" applyFont="1" applyFill="1" applyBorder="1" applyAlignment="1">
      <alignment horizontal="center" vertical="top" wrapText="1"/>
    </xf>
    <xf numFmtId="0" fontId="3" fillId="0" borderId="10" xfId="0" applyFont="1" applyFill="1" applyBorder="1" applyAlignment="1">
      <alignment horizontal="center" vertical="top" wrapText="1"/>
    </xf>
    <xf numFmtId="0" fontId="3" fillId="0" borderId="12" xfId="0" applyFont="1" applyFill="1" applyBorder="1" applyAlignment="1">
      <alignment horizontal="center" vertical="top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11" xfId="0" applyFont="1" applyFill="1" applyBorder="1" applyAlignment="1">
      <alignment horizontal="center" wrapText="1"/>
    </xf>
    <xf numFmtId="0" fontId="3" fillId="0" borderId="15" xfId="0" applyFont="1" applyFill="1" applyBorder="1" applyAlignment="1">
      <alignment horizontal="center" wrapText="1"/>
    </xf>
    <xf numFmtId="0" fontId="3" fillId="0" borderId="11" xfId="0" applyFont="1" applyFill="1" applyBorder="1" applyAlignment="1">
      <alignment horizontal="center" vertical="top" wrapText="1"/>
    </xf>
    <xf numFmtId="0" fontId="2" fillId="0" borderId="9" xfId="0" applyFont="1" applyFill="1" applyBorder="1" applyAlignment="1">
      <alignment horizontal="center" vertical="top" wrapText="1"/>
    </xf>
    <xf numFmtId="0" fontId="2" fillId="0" borderId="10" xfId="0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center" vertical="top" wrapText="1"/>
    </xf>
    <xf numFmtId="0" fontId="2" fillId="0" borderId="12" xfId="0" applyFont="1" applyFill="1" applyBorder="1" applyAlignment="1">
      <alignment horizontal="center" vertical="top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wrapText="1"/>
    </xf>
    <xf numFmtId="49" fontId="3" fillId="0" borderId="9" xfId="0" applyNumberFormat="1" applyFont="1" applyFill="1" applyBorder="1" applyAlignment="1">
      <alignment horizontal="center" vertical="top" wrapText="1"/>
    </xf>
    <xf numFmtId="49" fontId="3" fillId="0" borderId="10" xfId="0" applyNumberFormat="1" applyFont="1" applyFill="1" applyBorder="1" applyAlignment="1">
      <alignment horizontal="center" vertical="top" wrapText="1"/>
    </xf>
    <xf numFmtId="49" fontId="3" fillId="0" borderId="3" xfId="0" applyNumberFormat="1" applyFont="1" applyFill="1" applyBorder="1" applyAlignment="1">
      <alignment horizontal="center" vertical="top" wrapText="1"/>
    </xf>
    <xf numFmtId="49" fontId="3" fillId="0" borderId="9" xfId="0" applyNumberFormat="1" applyFont="1" applyFill="1" applyBorder="1" applyAlignment="1">
      <alignment horizontal="center" vertical="center"/>
    </xf>
    <xf numFmtId="49" fontId="3" fillId="0" borderId="10" xfId="0" applyNumberFormat="1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49" fontId="3" fillId="0" borderId="9" xfId="0" applyNumberFormat="1" applyFont="1" applyFill="1" applyBorder="1" applyAlignment="1">
      <alignment horizontal="center" vertical="center" wrapText="1"/>
    </xf>
    <xf numFmtId="49" fontId="3" fillId="0" borderId="10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/>
    </xf>
    <xf numFmtId="0" fontId="2" fillId="0" borderId="0" xfId="0" applyFont="1" applyFill="1" applyAlignment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16"/>
  <sheetViews>
    <sheetView zoomScale="141" zoomScaleNormal="141" workbookViewId="0">
      <selection activeCell="E8" sqref="E8"/>
    </sheetView>
  </sheetViews>
  <sheetFormatPr defaultRowHeight="12.75"/>
  <cols>
    <col min="1" max="1" width="5.42578125" customWidth="1"/>
    <col min="2" max="2" width="60.7109375" bestFit="1" customWidth="1"/>
    <col min="3" max="3" width="27.85546875" bestFit="1" customWidth="1"/>
    <col min="4" max="4" width="9.42578125" bestFit="1" customWidth="1"/>
  </cols>
  <sheetData>
    <row r="1" spans="1:6" ht="12.75" customHeight="1">
      <c r="A1" s="22"/>
      <c r="B1" s="22"/>
      <c r="C1" s="19" t="s">
        <v>5</v>
      </c>
      <c r="D1" s="19"/>
      <c r="E1" s="19"/>
      <c r="F1" s="19"/>
    </row>
    <row r="2" spans="1:6">
      <c r="A2" s="22"/>
      <c r="B2" s="22"/>
      <c r="C2" s="19" t="s">
        <v>166</v>
      </c>
      <c r="D2" s="19"/>
      <c r="E2" s="19"/>
      <c r="F2" s="19"/>
    </row>
    <row r="3" spans="1:6">
      <c r="A3" s="22"/>
      <c r="B3" s="22"/>
      <c r="C3" s="19" t="s">
        <v>194</v>
      </c>
      <c r="D3" s="19"/>
      <c r="E3" s="19"/>
      <c r="F3" s="19"/>
    </row>
    <row r="4" spans="1:6">
      <c r="A4" s="22"/>
      <c r="B4" s="22"/>
      <c r="C4" s="8" t="s">
        <v>148</v>
      </c>
      <c r="D4" s="8"/>
      <c r="E4" s="8"/>
      <c r="F4" s="8"/>
    </row>
    <row r="5" spans="1:6">
      <c r="A5" s="22"/>
      <c r="B5" s="22"/>
      <c r="C5" s="8" t="s">
        <v>193</v>
      </c>
      <c r="D5" s="8"/>
      <c r="E5" s="8"/>
      <c r="F5" s="8"/>
    </row>
    <row r="6" spans="1:6">
      <c r="A6" s="22"/>
      <c r="B6" s="22"/>
      <c r="C6" s="8" t="s">
        <v>195</v>
      </c>
      <c r="D6" s="8"/>
      <c r="E6" s="8"/>
      <c r="F6" s="8"/>
    </row>
    <row r="7" spans="1:6">
      <c r="A7" s="22"/>
      <c r="B7" s="22"/>
      <c r="C7" s="8" t="s">
        <v>198</v>
      </c>
      <c r="D7" s="8"/>
      <c r="E7" s="8"/>
      <c r="F7" s="8"/>
    </row>
    <row r="8" spans="1:6">
      <c r="A8" s="22"/>
      <c r="B8" s="22"/>
    </row>
    <row r="9" spans="1:6">
      <c r="A9" s="84" t="s">
        <v>167</v>
      </c>
      <c r="B9" s="84"/>
      <c r="C9" s="84"/>
    </row>
    <row r="10" spans="1:6">
      <c r="A10" s="22"/>
      <c r="B10" s="22"/>
      <c r="C10" s="45" t="s">
        <v>144</v>
      </c>
    </row>
    <row r="11" spans="1:6">
      <c r="A11" s="81" t="s">
        <v>32</v>
      </c>
      <c r="B11" s="81" t="s">
        <v>114</v>
      </c>
      <c r="C11" s="81" t="s">
        <v>147</v>
      </c>
    </row>
    <row r="12" spans="1:6">
      <c r="A12" s="82"/>
      <c r="B12" s="82"/>
      <c r="C12" s="82"/>
    </row>
    <row r="13" spans="1:6">
      <c r="A13" s="83"/>
      <c r="B13" s="83"/>
      <c r="C13" s="83"/>
    </row>
    <row r="14" spans="1:6">
      <c r="A14" s="41" t="s">
        <v>74</v>
      </c>
      <c r="B14" s="41" t="s">
        <v>75</v>
      </c>
      <c r="C14" s="41">
        <f>C15+C17+C23</f>
        <v>16538000</v>
      </c>
    </row>
    <row r="15" spans="1:6">
      <c r="A15" s="41" t="s">
        <v>33</v>
      </c>
      <c r="B15" s="41" t="s">
        <v>76</v>
      </c>
      <c r="C15" s="41">
        <f>SUM(C16:C16)</f>
        <v>14760000</v>
      </c>
    </row>
    <row r="16" spans="1:6">
      <c r="A16" s="25" t="s">
        <v>77</v>
      </c>
      <c r="B16" s="25" t="s">
        <v>78</v>
      </c>
      <c r="C16" s="25">
        <v>14760000</v>
      </c>
    </row>
    <row r="17" spans="1:3">
      <c r="A17" s="41" t="s">
        <v>34</v>
      </c>
      <c r="B17" s="41" t="s">
        <v>130</v>
      </c>
      <c r="C17" s="41">
        <f>SUM(C18+C21+C22)</f>
        <v>767000</v>
      </c>
    </row>
    <row r="18" spans="1:3">
      <c r="A18" s="25" t="s">
        <v>81</v>
      </c>
      <c r="B18" s="25" t="s">
        <v>168</v>
      </c>
      <c r="C18" s="25">
        <v>430000</v>
      </c>
    </row>
    <row r="19" spans="1:3">
      <c r="A19" s="25" t="s">
        <v>123</v>
      </c>
      <c r="B19" s="25" t="s">
        <v>83</v>
      </c>
      <c r="C19" s="25">
        <v>400000</v>
      </c>
    </row>
    <row r="20" spans="1:3">
      <c r="A20" s="25" t="s">
        <v>124</v>
      </c>
      <c r="B20" s="25" t="s">
        <v>85</v>
      </c>
      <c r="C20" s="25">
        <v>30000</v>
      </c>
    </row>
    <row r="21" spans="1:3">
      <c r="A21" s="25" t="s">
        <v>82</v>
      </c>
      <c r="B21" s="25" t="s">
        <v>86</v>
      </c>
      <c r="C21" s="25">
        <v>7000</v>
      </c>
    </row>
    <row r="22" spans="1:3">
      <c r="A22" s="25" t="s">
        <v>84</v>
      </c>
      <c r="B22" s="25" t="s">
        <v>87</v>
      </c>
      <c r="C22" s="25">
        <v>330000</v>
      </c>
    </row>
    <row r="23" spans="1:3">
      <c r="A23" s="41" t="s">
        <v>35</v>
      </c>
      <c r="B23" s="41" t="s">
        <v>88</v>
      </c>
      <c r="C23" s="41">
        <f>C26+C25+C24</f>
        <v>1011000</v>
      </c>
    </row>
    <row r="24" spans="1:3">
      <c r="A24" s="25" t="s">
        <v>89</v>
      </c>
      <c r="B24" s="25" t="s">
        <v>90</v>
      </c>
      <c r="C24" s="25">
        <v>30000</v>
      </c>
    </row>
    <row r="25" spans="1:3">
      <c r="A25" s="25" t="s">
        <v>91</v>
      </c>
      <c r="B25" s="25" t="s">
        <v>92</v>
      </c>
      <c r="C25" s="25">
        <v>31000</v>
      </c>
    </row>
    <row r="26" spans="1:3">
      <c r="A26" s="25" t="s">
        <v>93</v>
      </c>
      <c r="B26" s="25" t="s">
        <v>94</v>
      </c>
      <c r="C26" s="25">
        <v>950000</v>
      </c>
    </row>
    <row r="27" spans="1:3">
      <c r="A27" s="41" t="s">
        <v>95</v>
      </c>
      <c r="B27" s="41" t="s">
        <v>169</v>
      </c>
      <c r="C27" s="41">
        <f>C30+C29+C28</f>
        <v>12739600</v>
      </c>
    </row>
    <row r="28" spans="1:3">
      <c r="A28" s="25" t="s">
        <v>77</v>
      </c>
      <c r="B28" s="42" t="s">
        <v>96</v>
      </c>
      <c r="C28" s="25">
        <v>3002500</v>
      </c>
    </row>
    <row r="29" spans="1:3">
      <c r="A29" s="25" t="s">
        <v>79</v>
      </c>
      <c r="B29" s="42" t="s">
        <v>170</v>
      </c>
      <c r="C29" s="25">
        <v>7614100</v>
      </c>
    </row>
    <row r="30" spans="1:3">
      <c r="A30" s="25" t="s">
        <v>80</v>
      </c>
      <c r="B30" s="42" t="s">
        <v>97</v>
      </c>
      <c r="C30" s="25">
        <f>295600+159300+1552700+7100+108300</f>
        <v>2123000</v>
      </c>
    </row>
    <row r="31" spans="1:3">
      <c r="A31" s="41" t="s">
        <v>98</v>
      </c>
      <c r="B31" s="43" t="s">
        <v>156</v>
      </c>
      <c r="C31" s="41">
        <f>8400+19000+45000</f>
        <v>72400</v>
      </c>
    </row>
    <row r="32" spans="1:3">
      <c r="A32" s="41" t="s">
        <v>111</v>
      </c>
      <c r="B32" s="43" t="s">
        <v>99</v>
      </c>
      <c r="C32" s="41">
        <f>C49+C46+C45+C43+C39+C35+C34+C33</f>
        <v>1914000</v>
      </c>
    </row>
    <row r="33" spans="1:3">
      <c r="A33" s="24" t="s">
        <v>33</v>
      </c>
      <c r="B33" s="43" t="s">
        <v>149</v>
      </c>
      <c r="C33" s="41">
        <v>3000</v>
      </c>
    </row>
    <row r="34" spans="1:3">
      <c r="A34" s="24" t="s">
        <v>34</v>
      </c>
      <c r="B34" s="43" t="s">
        <v>171</v>
      </c>
      <c r="C34" s="41">
        <v>1000</v>
      </c>
    </row>
    <row r="35" spans="1:3">
      <c r="A35" s="24" t="s">
        <v>35</v>
      </c>
      <c r="B35" s="43" t="s">
        <v>196</v>
      </c>
      <c r="C35" s="41">
        <f>C38+C37+C36</f>
        <v>200000</v>
      </c>
    </row>
    <row r="36" spans="1:3" ht="25.5">
      <c r="A36" s="25" t="s">
        <v>89</v>
      </c>
      <c r="B36" s="42" t="s">
        <v>100</v>
      </c>
      <c r="C36" s="25">
        <v>90000</v>
      </c>
    </row>
    <row r="37" spans="1:3">
      <c r="A37" s="25" t="s">
        <v>91</v>
      </c>
      <c r="B37" s="42" t="s">
        <v>101</v>
      </c>
      <c r="C37" s="25">
        <v>100000</v>
      </c>
    </row>
    <row r="38" spans="1:3">
      <c r="A38" s="25" t="s">
        <v>93</v>
      </c>
      <c r="B38" s="42" t="s">
        <v>102</v>
      </c>
      <c r="C38" s="25">
        <v>10000</v>
      </c>
    </row>
    <row r="39" spans="1:3">
      <c r="A39" s="41" t="s">
        <v>36</v>
      </c>
      <c r="B39" s="43" t="s">
        <v>103</v>
      </c>
      <c r="C39" s="41">
        <f>C42+C41+C40</f>
        <v>1593000</v>
      </c>
    </row>
    <row r="40" spans="1:3">
      <c r="A40" s="25" t="s">
        <v>150</v>
      </c>
      <c r="B40" s="25" t="s">
        <v>154</v>
      </c>
      <c r="C40" s="25">
        <v>118100</v>
      </c>
    </row>
    <row r="41" spans="1:3">
      <c r="A41" s="25" t="s">
        <v>160</v>
      </c>
      <c r="B41" s="25" t="s">
        <v>189</v>
      </c>
      <c r="C41" s="25">
        <v>97600</v>
      </c>
    </row>
    <row r="42" spans="1:3">
      <c r="A42" s="25" t="s">
        <v>161</v>
      </c>
      <c r="B42" s="25" t="s">
        <v>104</v>
      </c>
      <c r="C42" s="25">
        <v>1377300</v>
      </c>
    </row>
    <row r="43" spans="1:3">
      <c r="A43" s="41" t="s">
        <v>37</v>
      </c>
      <c r="B43" s="41" t="s">
        <v>105</v>
      </c>
      <c r="C43" s="41">
        <f>C44</f>
        <v>3000</v>
      </c>
    </row>
    <row r="44" spans="1:3">
      <c r="A44" s="25" t="s">
        <v>162</v>
      </c>
      <c r="B44" s="25" t="s">
        <v>106</v>
      </c>
      <c r="C44" s="25">
        <v>3000</v>
      </c>
    </row>
    <row r="45" spans="1:3">
      <c r="A45" s="41" t="s">
        <v>38</v>
      </c>
      <c r="B45" s="41" t="s">
        <v>107</v>
      </c>
      <c r="C45" s="41">
        <f>40000</f>
        <v>40000</v>
      </c>
    </row>
    <row r="46" spans="1:3">
      <c r="A46" s="41" t="s">
        <v>39</v>
      </c>
      <c r="B46" s="41" t="s">
        <v>108</v>
      </c>
      <c r="C46" s="41">
        <f>C48+C47</f>
        <v>60000</v>
      </c>
    </row>
    <row r="47" spans="1:3">
      <c r="A47" s="25" t="s">
        <v>163</v>
      </c>
      <c r="B47" s="25" t="s">
        <v>109</v>
      </c>
      <c r="C47" s="25">
        <v>10000</v>
      </c>
    </row>
    <row r="48" spans="1:3">
      <c r="A48" s="25" t="s">
        <v>164</v>
      </c>
      <c r="B48" s="25" t="s">
        <v>110</v>
      </c>
      <c r="C48" s="25">
        <v>50000</v>
      </c>
    </row>
    <row r="49" spans="1:4">
      <c r="A49" s="41" t="s">
        <v>40</v>
      </c>
      <c r="B49" s="41" t="s">
        <v>197</v>
      </c>
      <c r="C49" s="41">
        <v>14000</v>
      </c>
    </row>
    <row r="50" spans="1:4">
      <c r="A50" s="41" t="s">
        <v>111</v>
      </c>
      <c r="B50" s="41" t="s">
        <v>112</v>
      </c>
      <c r="C50" s="41">
        <f>C32+C31+C27+C14</f>
        <v>31264000</v>
      </c>
    </row>
    <row r="51" spans="1:4">
      <c r="A51" s="41" t="s">
        <v>140</v>
      </c>
      <c r="B51" s="41" t="s">
        <v>158</v>
      </c>
      <c r="C51" s="41">
        <f>200000+498500-1100</f>
        <v>697400</v>
      </c>
    </row>
    <row r="52" spans="1:4">
      <c r="A52" s="85" t="s">
        <v>113</v>
      </c>
      <c r="B52" s="85"/>
      <c r="C52" s="85"/>
    </row>
    <row r="53" spans="1:4">
      <c r="A53" s="22"/>
      <c r="B53" s="22"/>
      <c r="D53" s="22"/>
    </row>
    <row r="54" spans="1:4">
      <c r="A54" s="22"/>
      <c r="B54" s="22"/>
    </row>
    <row r="55" spans="1:4">
      <c r="A55" s="22"/>
      <c r="B55" s="22"/>
    </row>
    <row r="56" spans="1:4">
      <c r="A56" s="22"/>
      <c r="B56" s="22"/>
    </row>
    <row r="57" spans="1:4">
      <c r="A57" s="22"/>
      <c r="B57" s="22"/>
    </row>
    <row r="58" spans="1:4">
      <c r="A58" s="22"/>
      <c r="B58" s="22"/>
    </row>
    <row r="59" spans="1:4">
      <c r="A59" s="22"/>
      <c r="B59" s="22"/>
    </row>
    <row r="60" spans="1:4">
      <c r="A60" s="22"/>
      <c r="B60" s="22"/>
    </row>
    <row r="61" spans="1:4">
      <c r="A61" s="22"/>
      <c r="B61" s="22"/>
    </row>
    <row r="62" spans="1:4">
      <c r="A62" s="22"/>
      <c r="B62" s="22"/>
    </row>
    <row r="63" spans="1:4">
      <c r="A63" s="22"/>
      <c r="B63" s="22"/>
    </row>
    <row r="64" spans="1:4">
      <c r="A64" s="22"/>
      <c r="B64" s="22"/>
    </row>
    <row r="65" spans="1:2">
      <c r="A65" s="22"/>
      <c r="B65" s="22"/>
    </row>
    <row r="66" spans="1:2">
      <c r="A66" s="22"/>
      <c r="B66" s="22"/>
    </row>
    <row r="67" spans="1:2">
      <c r="A67" s="22"/>
      <c r="B67" s="22"/>
    </row>
    <row r="68" spans="1:2">
      <c r="A68" s="22"/>
      <c r="B68" s="22"/>
    </row>
    <row r="69" spans="1:2">
      <c r="A69" s="22"/>
      <c r="B69" s="22"/>
    </row>
    <row r="70" spans="1:2">
      <c r="A70" s="22"/>
      <c r="B70" s="22"/>
    </row>
    <row r="71" spans="1:2">
      <c r="A71" s="22"/>
      <c r="B71" s="22"/>
    </row>
    <row r="72" spans="1:2">
      <c r="A72" s="22"/>
      <c r="B72" s="22"/>
    </row>
    <row r="73" spans="1:2">
      <c r="A73" s="22"/>
      <c r="B73" s="22"/>
    </row>
    <row r="74" spans="1:2">
      <c r="A74" s="22"/>
      <c r="B74" s="22"/>
    </row>
    <row r="75" spans="1:2">
      <c r="A75" s="22"/>
      <c r="B75" s="22"/>
    </row>
    <row r="76" spans="1:2">
      <c r="A76" s="22"/>
      <c r="B76" s="22"/>
    </row>
    <row r="77" spans="1:2">
      <c r="A77" s="22"/>
      <c r="B77" s="22"/>
    </row>
    <row r="78" spans="1:2">
      <c r="A78" s="22"/>
      <c r="B78" s="22"/>
    </row>
    <row r="79" spans="1:2">
      <c r="A79" s="22"/>
      <c r="B79" s="22"/>
    </row>
    <row r="80" spans="1:2">
      <c r="A80" s="22"/>
      <c r="B80" s="22"/>
    </row>
    <row r="81" spans="1:2">
      <c r="A81" s="22"/>
      <c r="B81" s="22"/>
    </row>
    <row r="82" spans="1:2">
      <c r="A82" s="22"/>
      <c r="B82" s="22"/>
    </row>
    <row r="83" spans="1:2">
      <c r="A83" s="22"/>
      <c r="B83" s="22"/>
    </row>
    <row r="84" spans="1:2">
      <c r="A84" s="22"/>
      <c r="B84" s="22"/>
    </row>
    <row r="85" spans="1:2">
      <c r="A85" s="22"/>
      <c r="B85" s="22"/>
    </row>
    <row r="86" spans="1:2">
      <c r="A86" s="22"/>
      <c r="B86" s="22"/>
    </row>
    <row r="87" spans="1:2">
      <c r="A87" s="22"/>
      <c r="B87" s="22"/>
    </row>
    <row r="88" spans="1:2">
      <c r="A88" s="22"/>
      <c r="B88" s="22"/>
    </row>
    <row r="89" spans="1:2">
      <c r="A89" s="22"/>
      <c r="B89" s="22"/>
    </row>
    <row r="90" spans="1:2">
      <c r="A90" s="22"/>
      <c r="B90" s="22"/>
    </row>
    <row r="91" spans="1:2">
      <c r="A91" s="22"/>
      <c r="B91" s="22"/>
    </row>
    <row r="92" spans="1:2">
      <c r="A92" s="22"/>
      <c r="B92" s="22"/>
    </row>
    <row r="93" spans="1:2">
      <c r="A93" s="22"/>
      <c r="B93" s="22"/>
    </row>
    <row r="94" spans="1:2">
      <c r="A94" s="22"/>
      <c r="B94" s="22"/>
    </row>
    <row r="95" spans="1:2">
      <c r="A95" s="22"/>
      <c r="B95" s="22"/>
    </row>
    <row r="96" spans="1:2">
      <c r="A96" s="22"/>
      <c r="B96" s="22"/>
    </row>
    <row r="97" spans="1:2">
      <c r="A97" s="22"/>
      <c r="B97" s="22"/>
    </row>
    <row r="98" spans="1:2">
      <c r="A98" s="22"/>
      <c r="B98" s="22"/>
    </row>
    <row r="99" spans="1:2">
      <c r="A99" s="22"/>
      <c r="B99" s="22"/>
    </row>
    <row r="100" spans="1:2">
      <c r="A100" s="22"/>
      <c r="B100" s="22"/>
    </row>
    <row r="101" spans="1:2">
      <c r="A101" s="22"/>
      <c r="B101" s="22"/>
    </row>
    <row r="102" spans="1:2">
      <c r="A102" s="22"/>
      <c r="B102" s="22"/>
    </row>
    <row r="103" spans="1:2">
      <c r="A103" s="22"/>
      <c r="B103" s="22"/>
    </row>
    <row r="104" spans="1:2">
      <c r="A104" s="22"/>
      <c r="B104" s="22"/>
    </row>
    <row r="105" spans="1:2">
      <c r="A105" s="22"/>
      <c r="B105" s="22"/>
    </row>
    <row r="106" spans="1:2">
      <c r="A106" s="22"/>
      <c r="B106" s="22"/>
    </row>
    <row r="107" spans="1:2">
      <c r="A107" s="22"/>
      <c r="B107" s="22"/>
    </row>
    <row r="108" spans="1:2">
      <c r="A108" s="22"/>
      <c r="B108" s="22"/>
    </row>
    <row r="109" spans="1:2">
      <c r="A109" s="22"/>
      <c r="B109" s="22"/>
    </row>
    <row r="110" spans="1:2">
      <c r="A110" s="22"/>
      <c r="B110" s="22"/>
    </row>
    <row r="111" spans="1:2">
      <c r="A111" s="22"/>
      <c r="B111" s="22"/>
    </row>
    <row r="112" spans="1:2">
      <c r="A112" s="22"/>
      <c r="B112" s="22"/>
    </row>
    <row r="113" spans="1:2">
      <c r="A113" s="22"/>
      <c r="B113" s="22"/>
    </row>
    <row r="114" spans="1:2">
      <c r="A114" s="22"/>
      <c r="B114" s="22"/>
    </row>
    <row r="115" spans="1:2">
      <c r="A115" s="22"/>
      <c r="B115" s="22"/>
    </row>
    <row r="116" spans="1:2">
      <c r="A116" s="22"/>
      <c r="B116" s="22"/>
    </row>
  </sheetData>
  <mergeCells count="5">
    <mergeCell ref="C11:C13"/>
    <mergeCell ref="B11:B13"/>
    <mergeCell ref="A11:A13"/>
    <mergeCell ref="A9:C9"/>
    <mergeCell ref="A52:C52"/>
  </mergeCells>
  <phoneticPr fontId="4" type="noConversion"/>
  <pageMargins left="0.98425196850393704" right="0.19685039370078741" top="0.59055118110236227" bottom="0.19685039370078741" header="0" footer="0"/>
  <pageSetup paperSize="9" scale="9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K133"/>
  <sheetViews>
    <sheetView topLeftCell="A37" zoomScale="135" zoomScaleNormal="135" workbookViewId="0">
      <selection activeCell="D7" sqref="D7:F7"/>
    </sheetView>
  </sheetViews>
  <sheetFormatPr defaultRowHeight="12.75"/>
  <cols>
    <col min="1" max="1" width="6.7109375" bestFit="1" customWidth="1"/>
    <col min="2" max="2" width="43.140625" bestFit="1" customWidth="1"/>
    <col min="3" max="4" width="9" bestFit="1" customWidth="1"/>
    <col min="5" max="5" width="11.140625" bestFit="1" customWidth="1"/>
    <col min="6" max="6" width="10.5703125" customWidth="1"/>
  </cols>
  <sheetData>
    <row r="1" spans="1:7">
      <c r="A1" s="3"/>
      <c r="B1" s="3"/>
      <c r="C1" s="19"/>
      <c r="D1" s="86" t="s">
        <v>5</v>
      </c>
      <c r="E1" s="86"/>
      <c r="F1" s="86"/>
    </row>
    <row r="2" spans="1:7">
      <c r="A2" s="3"/>
      <c r="B2" s="3"/>
      <c r="C2" s="19"/>
      <c r="D2" s="86" t="s">
        <v>166</v>
      </c>
      <c r="E2" s="86"/>
      <c r="F2" s="86"/>
      <c r="G2" s="19"/>
    </row>
    <row r="3" spans="1:7">
      <c r="A3" s="1"/>
      <c r="B3" s="3"/>
      <c r="C3" s="19"/>
      <c r="D3" s="86" t="s">
        <v>194</v>
      </c>
      <c r="E3" s="86"/>
      <c r="F3" s="86"/>
    </row>
    <row r="4" spans="1:7">
      <c r="A4" s="1"/>
      <c r="B4" s="8"/>
      <c r="C4" s="8"/>
      <c r="D4" s="87" t="s">
        <v>151</v>
      </c>
      <c r="E4" s="87"/>
      <c r="F4" s="87"/>
    </row>
    <row r="5" spans="1:7">
      <c r="A5" s="1"/>
      <c r="B5" s="8"/>
      <c r="C5" s="8"/>
      <c r="D5" s="8" t="s">
        <v>193</v>
      </c>
      <c r="E5" s="8"/>
      <c r="F5" s="8"/>
    </row>
    <row r="6" spans="1:7">
      <c r="A6" s="1"/>
      <c r="B6" s="8"/>
      <c r="C6" s="8"/>
      <c r="D6" s="8" t="s">
        <v>195</v>
      </c>
      <c r="E6" s="8"/>
      <c r="F6" s="8"/>
    </row>
    <row r="7" spans="1:7">
      <c r="A7" s="1"/>
      <c r="B7" s="8"/>
      <c r="C7" s="8"/>
      <c r="D7" s="120" t="s">
        <v>198</v>
      </c>
      <c r="E7" s="120"/>
      <c r="F7" s="120"/>
    </row>
    <row r="8" spans="1:7">
      <c r="A8" s="1"/>
      <c r="B8" s="8"/>
      <c r="C8" s="8"/>
      <c r="D8" s="50"/>
      <c r="E8" s="50"/>
      <c r="F8" s="50"/>
    </row>
    <row r="9" spans="1:7" ht="28.15" customHeight="1">
      <c r="A9" s="89" t="s">
        <v>174</v>
      </c>
      <c r="B9" s="89"/>
      <c r="C9" s="89"/>
      <c r="D9" s="89"/>
      <c r="E9" s="89"/>
      <c r="F9" s="89"/>
      <c r="G9" s="18"/>
    </row>
    <row r="10" spans="1:7">
      <c r="A10" s="1"/>
      <c r="B10" s="3"/>
      <c r="C10" s="91" t="s">
        <v>144</v>
      </c>
      <c r="D10" s="91"/>
      <c r="E10" s="91"/>
      <c r="F10" s="91"/>
    </row>
    <row r="11" spans="1:7">
      <c r="A11" s="92" t="s">
        <v>0</v>
      </c>
      <c r="B11" s="92" t="s">
        <v>65</v>
      </c>
      <c r="C11" s="95" t="s">
        <v>70</v>
      </c>
      <c r="D11" s="96"/>
      <c r="E11" s="96"/>
      <c r="F11" s="97"/>
    </row>
    <row r="12" spans="1:7">
      <c r="A12" s="93"/>
      <c r="B12" s="94"/>
      <c r="C12" s="92" t="s">
        <v>2</v>
      </c>
      <c r="D12" s="99" t="s">
        <v>3</v>
      </c>
      <c r="E12" s="99"/>
      <c r="F12" s="100"/>
    </row>
    <row r="13" spans="1:7">
      <c r="A13" s="93"/>
      <c r="B13" s="94"/>
      <c r="C13" s="93"/>
      <c r="D13" s="101" t="s">
        <v>68</v>
      </c>
      <c r="E13" s="101"/>
      <c r="F13" s="92" t="s">
        <v>19</v>
      </c>
    </row>
    <row r="14" spans="1:7" ht="28.15" customHeight="1">
      <c r="A14" s="93"/>
      <c r="B14" s="94"/>
      <c r="C14" s="98"/>
      <c r="D14" s="33" t="s">
        <v>69</v>
      </c>
      <c r="E14" s="35" t="s">
        <v>6</v>
      </c>
      <c r="F14" s="98"/>
    </row>
    <row r="15" spans="1:7">
      <c r="A15" s="5">
        <v>1</v>
      </c>
      <c r="B15" s="34">
        <v>2</v>
      </c>
      <c r="C15" s="35">
        <v>3</v>
      </c>
      <c r="D15" s="35">
        <v>4</v>
      </c>
      <c r="E15" s="35">
        <v>5</v>
      </c>
      <c r="F15" s="35">
        <v>6</v>
      </c>
    </row>
    <row r="16" spans="1:7">
      <c r="A16" s="62" t="s">
        <v>33</v>
      </c>
      <c r="B16" s="63" t="s">
        <v>10</v>
      </c>
      <c r="C16" s="64">
        <f>1175500+16300+1800</f>
        <v>1193600</v>
      </c>
      <c r="D16" s="65">
        <f>C16-F16</f>
        <v>1181400</v>
      </c>
      <c r="E16" s="65">
        <f>1026600+3000+1500</f>
        <v>1031100</v>
      </c>
      <c r="F16" s="65">
        <v>12200</v>
      </c>
    </row>
    <row r="17" spans="1:10">
      <c r="A17" s="62" t="s">
        <v>34</v>
      </c>
      <c r="B17" s="63" t="s">
        <v>134</v>
      </c>
      <c r="C17" s="64">
        <f>848900+1100+500</f>
        <v>850500</v>
      </c>
      <c r="D17" s="65">
        <f t="shared" ref="D17:D49" si="0">C17-F17</f>
        <v>848800</v>
      </c>
      <c r="E17" s="65">
        <f>710300+1100+300</f>
        <v>711700</v>
      </c>
      <c r="F17" s="65">
        <v>1700</v>
      </c>
      <c r="J17" s="22"/>
    </row>
    <row r="18" spans="1:10">
      <c r="A18" s="66" t="s">
        <v>35</v>
      </c>
      <c r="B18" s="63" t="s">
        <v>141</v>
      </c>
      <c r="C18" s="67">
        <f>948400+1100+200</f>
        <v>949700</v>
      </c>
      <c r="D18" s="65">
        <f t="shared" si="0"/>
        <v>948200</v>
      </c>
      <c r="E18" s="68">
        <f>808600+1100+200</f>
        <v>809900</v>
      </c>
      <c r="F18" s="68">
        <v>1500</v>
      </c>
    </row>
    <row r="19" spans="1:10">
      <c r="A19" s="66" t="s">
        <v>36</v>
      </c>
      <c r="B19" s="63" t="s">
        <v>135</v>
      </c>
      <c r="C19" s="67">
        <f>1167200+1700+300</f>
        <v>1169200</v>
      </c>
      <c r="D19" s="65">
        <f t="shared" si="0"/>
        <v>1165700</v>
      </c>
      <c r="E19" s="68">
        <f>966700+1700+300</f>
        <v>968700</v>
      </c>
      <c r="F19" s="68">
        <v>3500</v>
      </c>
    </row>
    <row r="20" spans="1:10">
      <c r="A20" s="66" t="s">
        <v>37</v>
      </c>
      <c r="B20" s="63" t="s">
        <v>142</v>
      </c>
      <c r="C20" s="68">
        <f>1853800+9700-1100+800</f>
        <v>1863200</v>
      </c>
      <c r="D20" s="65">
        <f t="shared" si="0"/>
        <v>1852300</v>
      </c>
      <c r="E20" s="68">
        <f>1563100+8500</f>
        <v>1571600</v>
      </c>
      <c r="F20" s="68">
        <v>10900</v>
      </c>
    </row>
    <row r="21" spans="1:10">
      <c r="A21" s="66" t="s">
        <v>38</v>
      </c>
      <c r="B21" s="63" t="s">
        <v>190</v>
      </c>
      <c r="C21" s="67">
        <f>1361900+1500+2200</f>
        <v>1365600</v>
      </c>
      <c r="D21" s="65">
        <f t="shared" si="0"/>
        <v>1365600</v>
      </c>
      <c r="E21" s="68">
        <f>1174900+1500</f>
        <v>1176400</v>
      </c>
      <c r="F21" s="68"/>
    </row>
    <row r="22" spans="1:10">
      <c r="A22" s="66" t="s">
        <v>39</v>
      </c>
      <c r="B22" s="63" t="s">
        <v>139</v>
      </c>
      <c r="C22" s="67">
        <f>706100+600+14300</f>
        <v>721000</v>
      </c>
      <c r="D22" s="65">
        <f t="shared" si="0"/>
        <v>708200</v>
      </c>
      <c r="E22" s="68">
        <f>588600+600</f>
        <v>589200</v>
      </c>
      <c r="F22" s="68">
        <f>800+12000</f>
        <v>12800</v>
      </c>
    </row>
    <row r="23" spans="1:10">
      <c r="A23" s="66" t="s">
        <v>40</v>
      </c>
      <c r="B23" s="63" t="s">
        <v>11</v>
      </c>
      <c r="C23" s="67">
        <f>697700+9200+800</f>
        <v>707700</v>
      </c>
      <c r="D23" s="65">
        <f t="shared" si="0"/>
        <v>703700</v>
      </c>
      <c r="E23" s="68">
        <f>588800+9100</f>
        <v>597900</v>
      </c>
      <c r="F23" s="68">
        <v>4000</v>
      </c>
    </row>
    <row r="24" spans="1:10">
      <c r="A24" s="66" t="s">
        <v>41</v>
      </c>
      <c r="B24" s="63" t="s">
        <v>136</v>
      </c>
      <c r="C24" s="67">
        <f>486900+400</f>
        <v>487300</v>
      </c>
      <c r="D24" s="65">
        <f t="shared" si="0"/>
        <v>487300</v>
      </c>
      <c r="E24" s="68">
        <f>401900+400</f>
        <v>402300</v>
      </c>
      <c r="F24" s="68"/>
    </row>
    <row r="25" spans="1:10">
      <c r="A25" s="66" t="s">
        <v>42</v>
      </c>
      <c r="B25" s="63" t="s">
        <v>137</v>
      </c>
      <c r="C25" s="67">
        <f>701600+10900+12100</f>
        <v>724600</v>
      </c>
      <c r="D25" s="65">
        <f t="shared" si="0"/>
        <v>710600</v>
      </c>
      <c r="E25" s="68">
        <f>596900+8500</f>
        <v>605400</v>
      </c>
      <c r="F25" s="68">
        <f>2000+12000</f>
        <v>14000</v>
      </c>
    </row>
    <row r="26" spans="1:10">
      <c r="A26" s="66" t="s">
        <v>43</v>
      </c>
      <c r="B26" s="63" t="s">
        <v>143</v>
      </c>
      <c r="C26" s="68">
        <v>387400</v>
      </c>
      <c r="D26" s="65">
        <f t="shared" si="0"/>
        <v>387400</v>
      </c>
      <c r="E26" s="68">
        <v>338600</v>
      </c>
      <c r="F26" s="68"/>
    </row>
    <row r="27" spans="1:10">
      <c r="A27" s="66" t="s">
        <v>44</v>
      </c>
      <c r="B27" s="63" t="s">
        <v>12</v>
      </c>
      <c r="C27" s="64">
        <f>576100+8700+400</f>
        <v>585200</v>
      </c>
      <c r="D27" s="65">
        <f t="shared" si="0"/>
        <v>583200</v>
      </c>
      <c r="E27" s="65">
        <f>444100+8600</f>
        <v>452700</v>
      </c>
      <c r="F27" s="65">
        <v>2000</v>
      </c>
    </row>
    <row r="28" spans="1:10">
      <c r="A28" s="66" t="s">
        <v>45</v>
      </c>
      <c r="B28" s="63" t="s">
        <v>13</v>
      </c>
      <c r="C28" s="64">
        <f>829600+100</f>
        <v>829700</v>
      </c>
      <c r="D28" s="65">
        <f t="shared" si="0"/>
        <v>820700</v>
      </c>
      <c r="E28" s="65">
        <v>679300</v>
      </c>
      <c r="F28" s="65">
        <v>9000</v>
      </c>
    </row>
    <row r="29" spans="1:10">
      <c r="A29" s="66" t="s">
        <v>46</v>
      </c>
      <c r="B29" s="63" t="s">
        <v>67</v>
      </c>
      <c r="C29" s="64">
        <f>538900+300</f>
        <v>539200</v>
      </c>
      <c r="D29" s="65">
        <f t="shared" si="0"/>
        <v>539200</v>
      </c>
      <c r="E29" s="65">
        <v>425500</v>
      </c>
      <c r="F29" s="65"/>
    </row>
    <row r="30" spans="1:10">
      <c r="A30" s="66" t="s">
        <v>47</v>
      </c>
      <c r="B30" s="63" t="s">
        <v>138</v>
      </c>
      <c r="C30" s="67">
        <v>183700</v>
      </c>
      <c r="D30" s="65">
        <f t="shared" si="0"/>
        <v>183700</v>
      </c>
      <c r="E30" s="68">
        <v>175600</v>
      </c>
      <c r="F30" s="68"/>
    </row>
    <row r="31" spans="1:10">
      <c r="A31" s="66" t="s">
        <v>48</v>
      </c>
      <c r="B31" s="63" t="s">
        <v>20</v>
      </c>
      <c r="C31" s="64">
        <v>439600</v>
      </c>
      <c r="D31" s="65">
        <f t="shared" si="0"/>
        <v>434600</v>
      </c>
      <c r="E31" s="65">
        <v>417900</v>
      </c>
      <c r="F31" s="65">
        <v>5000</v>
      </c>
    </row>
    <row r="32" spans="1:10" ht="13.9" customHeight="1">
      <c r="A32" s="66" t="s">
        <v>49</v>
      </c>
      <c r="B32" s="63" t="s">
        <v>133</v>
      </c>
      <c r="C32" s="67">
        <f>205900+200</f>
        <v>206100</v>
      </c>
      <c r="D32" s="65">
        <f t="shared" si="0"/>
        <v>206100</v>
      </c>
      <c r="E32" s="68">
        <v>191300</v>
      </c>
      <c r="F32" s="68"/>
    </row>
    <row r="33" spans="1:11">
      <c r="A33" s="66" t="s">
        <v>50</v>
      </c>
      <c r="B33" s="63" t="s">
        <v>25</v>
      </c>
      <c r="C33" s="67">
        <f>562600+200</f>
        <v>562800</v>
      </c>
      <c r="D33" s="65">
        <f t="shared" si="0"/>
        <v>562800</v>
      </c>
      <c r="E33" s="68">
        <f>377400-3900</f>
        <v>373500</v>
      </c>
      <c r="F33" s="68"/>
    </row>
    <row r="34" spans="1:11">
      <c r="A34" s="66" t="s">
        <v>51</v>
      </c>
      <c r="B34" s="63" t="s">
        <v>153</v>
      </c>
      <c r="C34" s="68">
        <f>203500+100</f>
        <v>203600</v>
      </c>
      <c r="D34" s="65">
        <f t="shared" si="0"/>
        <v>203600</v>
      </c>
      <c r="E34" s="68">
        <v>176300</v>
      </c>
      <c r="F34" s="68"/>
    </row>
    <row r="35" spans="1:11">
      <c r="A35" s="66" t="s">
        <v>52</v>
      </c>
      <c r="B35" s="69" t="s">
        <v>22</v>
      </c>
      <c r="C35" s="70">
        <f>215900+4200</f>
        <v>220100</v>
      </c>
      <c r="D35" s="65">
        <f t="shared" si="0"/>
        <v>218600</v>
      </c>
      <c r="E35" s="71">
        <v>189700</v>
      </c>
      <c r="F35" s="71">
        <v>1500</v>
      </c>
    </row>
    <row r="36" spans="1:11" ht="13.9" customHeight="1">
      <c r="A36" s="66" t="s">
        <v>53</v>
      </c>
      <c r="B36" s="69" t="s">
        <v>132</v>
      </c>
      <c r="C36" s="70">
        <f>748900+30100+7200</f>
        <v>786200</v>
      </c>
      <c r="D36" s="65">
        <f t="shared" si="0"/>
        <v>664600</v>
      </c>
      <c r="E36" s="71">
        <v>557100</v>
      </c>
      <c r="F36" s="71">
        <v>121600</v>
      </c>
    </row>
    <row r="37" spans="1:11">
      <c r="A37" s="66" t="s">
        <v>54</v>
      </c>
      <c r="B37" s="69" t="s">
        <v>27</v>
      </c>
      <c r="C37" s="72">
        <f>488200+3900+7400</f>
        <v>499500</v>
      </c>
      <c r="D37" s="65">
        <f t="shared" si="0"/>
        <v>492600</v>
      </c>
      <c r="E37" s="73">
        <v>374000</v>
      </c>
      <c r="F37" s="73">
        <v>6900</v>
      </c>
    </row>
    <row r="38" spans="1:11">
      <c r="A38" s="66" t="s">
        <v>55</v>
      </c>
      <c r="B38" s="69" t="s">
        <v>71</v>
      </c>
      <c r="C38" s="72">
        <f>82100+100</f>
        <v>82200</v>
      </c>
      <c r="D38" s="65">
        <f t="shared" si="0"/>
        <v>82200</v>
      </c>
      <c r="E38" s="73">
        <v>72500</v>
      </c>
      <c r="F38" s="73"/>
    </row>
    <row r="39" spans="1:11">
      <c r="A39" s="66" t="s">
        <v>56</v>
      </c>
      <c r="B39" s="69" t="s">
        <v>23</v>
      </c>
      <c r="C39" s="72">
        <f>76000+100</f>
        <v>76100</v>
      </c>
      <c r="D39" s="65">
        <f t="shared" si="0"/>
        <v>75800</v>
      </c>
      <c r="E39" s="73">
        <v>64600</v>
      </c>
      <c r="F39" s="73">
        <v>300</v>
      </c>
    </row>
    <row r="40" spans="1:11">
      <c r="A40" s="66" t="s">
        <v>57</v>
      </c>
      <c r="B40" s="69" t="s">
        <v>126</v>
      </c>
      <c r="C40" s="72">
        <v>78400</v>
      </c>
      <c r="D40" s="65">
        <f t="shared" si="0"/>
        <v>78400</v>
      </c>
      <c r="E40" s="73">
        <v>65000</v>
      </c>
      <c r="F40" s="73"/>
    </row>
    <row r="41" spans="1:11">
      <c r="A41" s="66" t="s">
        <v>58</v>
      </c>
      <c r="B41" s="69" t="s">
        <v>24</v>
      </c>
      <c r="C41" s="72">
        <v>103800</v>
      </c>
      <c r="D41" s="65">
        <f t="shared" si="0"/>
        <v>103800</v>
      </c>
      <c r="E41" s="73">
        <v>70700</v>
      </c>
      <c r="F41" s="73"/>
    </row>
    <row r="42" spans="1:11">
      <c r="A42" s="66" t="s">
        <v>59</v>
      </c>
      <c r="B42" s="74" t="s">
        <v>125</v>
      </c>
      <c r="C42" s="72">
        <f>293200+1000</f>
        <v>294200</v>
      </c>
      <c r="D42" s="65">
        <f t="shared" si="0"/>
        <v>294200</v>
      </c>
      <c r="E42" s="72">
        <f>192700+200</f>
        <v>192900</v>
      </c>
      <c r="F42" s="72"/>
      <c r="K42" s="44"/>
    </row>
    <row r="43" spans="1:11">
      <c r="A43" s="66" t="s">
        <v>115</v>
      </c>
      <c r="B43" s="74" t="s">
        <v>127</v>
      </c>
      <c r="C43" s="72">
        <v>92100</v>
      </c>
      <c r="D43" s="65">
        <f t="shared" si="0"/>
        <v>91400</v>
      </c>
      <c r="E43" s="72">
        <v>87400</v>
      </c>
      <c r="F43" s="72">
        <v>700</v>
      </c>
    </row>
    <row r="44" spans="1:11">
      <c r="A44" s="66" t="s">
        <v>116</v>
      </c>
      <c r="B44" s="74" t="s">
        <v>131</v>
      </c>
      <c r="C44" s="72">
        <v>761400</v>
      </c>
      <c r="D44" s="65">
        <f t="shared" si="0"/>
        <v>740600</v>
      </c>
      <c r="E44" s="72">
        <v>661800</v>
      </c>
      <c r="F44" s="72">
        <f>35000-14200</f>
        <v>20800</v>
      </c>
    </row>
    <row r="45" spans="1:11">
      <c r="A45" s="66" t="s">
        <v>117</v>
      </c>
      <c r="B45" s="74" t="s">
        <v>128</v>
      </c>
      <c r="C45" s="72">
        <f>285400+69700</f>
        <v>355100</v>
      </c>
      <c r="D45" s="65">
        <f t="shared" si="0"/>
        <v>41200</v>
      </c>
      <c r="E45" s="72"/>
      <c r="F45" s="72">
        <f>244200+69700</f>
        <v>313900</v>
      </c>
    </row>
    <row r="46" spans="1:11">
      <c r="A46" s="66" t="s">
        <v>118</v>
      </c>
      <c r="B46" s="74" t="s">
        <v>66</v>
      </c>
      <c r="C46" s="72">
        <f>988500+28200+3000</f>
        <v>1019700</v>
      </c>
      <c r="D46" s="65">
        <f t="shared" si="0"/>
        <v>1017700</v>
      </c>
      <c r="E46" s="72">
        <f>901200+33700</f>
        <v>934900</v>
      </c>
      <c r="F46" s="72">
        <v>2000</v>
      </c>
    </row>
    <row r="47" spans="1:11">
      <c r="A47" s="66" t="s">
        <v>119</v>
      </c>
      <c r="B47" s="74" t="s">
        <v>155</v>
      </c>
      <c r="C47" s="72">
        <f>662500+4800</f>
        <v>667300</v>
      </c>
      <c r="D47" s="65">
        <f t="shared" si="0"/>
        <v>663300</v>
      </c>
      <c r="E47" s="72">
        <v>588700</v>
      </c>
      <c r="F47" s="72">
        <v>4000</v>
      </c>
    </row>
    <row r="48" spans="1:11">
      <c r="A48" s="75" t="s">
        <v>120</v>
      </c>
      <c r="B48" s="74" t="s">
        <v>31</v>
      </c>
      <c r="C48" s="72">
        <f>1520400+12600+7100+14100</f>
        <v>1554200</v>
      </c>
      <c r="D48" s="65">
        <f t="shared" si="0"/>
        <v>1535200</v>
      </c>
      <c r="E48" s="72">
        <f>1083500+12600+7000+5300</f>
        <v>1108400</v>
      </c>
      <c r="F48" s="72">
        <v>19000</v>
      </c>
    </row>
    <row r="49" spans="1:6">
      <c r="A49" s="75" t="s">
        <v>121</v>
      </c>
      <c r="B49" s="74" t="s">
        <v>26</v>
      </c>
      <c r="C49" s="72">
        <f>9286500+125300+1968200+21400</f>
        <v>11401400</v>
      </c>
      <c r="D49" s="65">
        <f t="shared" si="0"/>
        <v>8961400</v>
      </c>
      <c r="E49" s="72">
        <f>2632100+18400</f>
        <v>2650500</v>
      </c>
      <c r="F49" s="72">
        <f>1055700+1361300+23000</f>
        <v>2440000</v>
      </c>
    </row>
    <row r="50" spans="1:6">
      <c r="A50" s="66" t="s">
        <v>122</v>
      </c>
      <c r="B50" s="76" t="s">
        <v>191</v>
      </c>
      <c r="C50" s="73">
        <f>17500-5000</f>
        <v>12500</v>
      </c>
      <c r="D50" s="73"/>
      <c r="E50" s="73"/>
      <c r="F50" s="73"/>
    </row>
    <row r="51" spans="1:6">
      <c r="A51" s="20"/>
      <c r="B51" s="46" t="s">
        <v>72</v>
      </c>
      <c r="C51" s="16">
        <f>C16+C17+C18+C19+C20+C21+C22+C23+C24+C25+C26+C27+C28+C29+C30+C31+C32+C33+C34+C35+C36+C37+C38+C39+C40+C41+C42+C43+C44+C45+C46+C47+C48+C49</f>
        <v>31961400</v>
      </c>
      <c r="D51" s="16">
        <f>D16+D17+D18+D19+D20+D21+D22+D23+D24+D25+D26+D27+D28+D29+D30+D31+D32+D33+D34+D35+D36+D37+D38+D39+D40+D41+D42+D43+D44+D45+D46+D47+D48+D49</f>
        <v>28954100</v>
      </c>
      <c r="E51" s="16">
        <f>E16+E17+E18+E19+E20+E21+E22+E23+E24+E25+E26+E27+E28+E29+E30+E31+E32+E33+E34+E35+E36+E37+E38+E39+E40+E41+E42+E43+E44+E45+E46+E47+E48+E49</f>
        <v>19313100</v>
      </c>
      <c r="F51" s="16">
        <f>F16+F17+F18+F19+F20+F21+F22+F23+F24+F25+F26+F27+F28+F29+F30+F31+F32+F33+F34+F35+F36+F37+F38+F39+F40+F41+F42+F43+F44+F45+F46+F47+F48+F49</f>
        <v>3007300</v>
      </c>
    </row>
    <row r="52" spans="1:6">
      <c r="A52" s="88"/>
      <c r="B52" s="88"/>
      <c r="C52" s="88"/>
      <c r="D52" s="88"/>
      <c r="E52" s="88"/>
      <c r="F52" s="88"/>
    </row>
    <row r="53" spans="1:6">
      <c r="A53" s="90" t="s">
        <v>18</v>
      </c>
      <c r="B53" s="90"/>
      <c r="C53" s="90"/>
      <c r="D53" s="90"/>
      <c r="E53" s="90"/>
      <c r="F53" s="90"/>
    </row>
    <row r="54" spans="1:6">
      <c r="A54" s="31"/>
      <c r="B54" s="31"/>
      <c r="C54" s="31"/>
      <c r="D54" s="31"/>
      <c r="E54" s="31"/>
      <c r="F54" s="31"/>
    </row>
    <row r="55" spans="1:6">
      <c r="A55" s="31"/>
      <c r="B55" s="31"/>
      <c r="C55" s="31"/>
      <c r="D55" s="31"/>
      <c r="E55" s="31"/>
      <c r="F55" s="31"/>
    </row>
    <row r="56" spans="1:6">
      <c r="A56" s="31"/>
      <c r="B56" s="31"/>
      <c r="C56" s="31"/>
      <c r="D56" s="31"/>
      <c r="E56" s="31"/>
      <c r="F56" s="31"/>
    </row>
    <row r="57" spans="1:6">
      <c r="A57" s="31"/>
      <c r="B57" s="31"/>
      <c r="C57" s="31"/>
      <c r="D57" s="31"/>
      <c r="E57" s="31"/>
      <c r="F57" s="31"/>
    </row>
    <row r="58" spans="1:6">
      <c r="A58" s="31"/>
      <c r="B58" s="31"/>
      <c r="C58" s="31"/>
      <c r="D58" s="31"/>
      <c r="E58" s="31"/>
      <c r="F58" s="31"/>
    </row>
    <row r="59" spans="1:6">
      <c r="A59" s="31"/>
      <c r="B59" s="31"/>
      <c r="C59" s="31"/>
      <c r="D59" s="31"/>
      <c r="E59" s="31"/>
      <c r="F59" s="31"/>
    </row>
    <row r="60" spans="1:6">
      <c r="A60" s="31"/>
      <c r="B60" s="31"/>
      <c r="C60" s="31"/>
      <c r="D60" s="31"/>
      <c r="E60" s="31"/>
      <c r="F60" s="31"/>
    </row>
    <row r="61" spans="1:6">
      <c r="A61" s="31"/>
      <c r="B61" s="31"/>
      <c r="C61" s="31"/>
      <c r="D61" s="31"/>
      <c r="E61" s="31"/>
      <c r="F61" s="31"/>
    </row>
    <row r="62" spans="1:6">
      <c r="A62" s="31"/>
      <c r="B62" s="31"/>
      <c r="C62" s="31"/>
      <c r="D62" s="31"/>
      <c r="E62" s="31"/>
      <c r="F62" s="31"/>
    </row>
    <row r="63" spans="1:6">
      <c r="A63" s="31"/>
      <c r="B63" s="31"/>
      <c r="C63" s="31"/>
      <c r="D63" s="31"/>
      <c r="E63" s="31"/>
      <c r="F63" s="31"/>
    </row>
    <row r="64" spans="1:6">
      <c r="A64" s="31"/>
      <c r="B64" s="31"/>
      <c r="C64" s="31"/>
      <c r="D64" s="31"/>
      <c r="E64" s="31"/>
      <c r="F64" s="31"/>
    </row>
    <row r="65" spans="1:6">
      <c r="A65" s="31"/>
      <c r="B65" s="31"/>
      <c r="C65" s="31"/>
      <c r="D65" s="31"/>
      <c r="E65" s="31"/>
      <c r="F65" s="31"/>
    </row>
    <row r="66" spans="1:6">
      <c r="A66" s="31"/>
      <c r="B66" s="31"/>
      <c r="C66" s="31"/>
      <c r="D66" s="31"/>
      <c r="E66" s="31"/>
      <c r="F66" s="31"/>
    </row>
    <row r="67" spans="1:6">
      <c r="A67" s="31"/>
      <c r="B67" s="31"/>
      <c r="C67" s="31"/>
      <c r="D67" s="31"/>
      <c r="E67" s="31"/>
      <c r="F67" s="31"/>
    </row>
    <row r="68" spans="1:6">
      <c r="A68" s="31"/>
      <c r="B68" s="31"/>
      <c r="C68" s="31"/>
      <c r="D68" s="31"/>
      <c r="E68" s="31"/>
      <c r="F68" s="31"/>
    </row>
    <row r="69" spans="1:6">
      <c r="A69" s="31"/>
      <c r="B69" s="31"/>
      <c r="C69" s="31"/>
      <c r="D69" s="31"/>
      <c r="E69" s="31"/>
      <c r="F69" s="31"/>
    </row>
    <row r="70" spans="1:6">
      <c r="A70" s="31"/>
      <c r="B70" s="31"/>
      <c r="C70" s="31"/>
      <c r="D70" s="31"/>
      <c r="E70" s="31"/>
      <c r="F70" s="31"/>
    </row>
    <row r="71" spans="1:6">
      <c r="A71" s="31"/>
      <c r="B71" s="31"/>
      <c r="C71" s="31"/>
      <c r="D71" s="31"/>
      <c r="E71" s="31"/>
      <c r="F71" s="31"/>
    </row>
    <row r="72" spans="1:6">
      <c r="A72" s="31"/>
      <c r="B72" s="31"/>
      <c r="C72" s="31"/>
      <c r="D72" s="31"/>
      <c r="E72" s="31"/>
      <c r="F72" s="31"/>
    </row>
    <row r="73" spans="1:6">
      <c r="A73" s="31"/>
      <c r="B73" s="31"/>
      <c r="C73" s="31"/>
      <c r="D73" s="31"/>
      <c r="E73" s="31"/>
      <c r="F73" s="31"/>
    </row>
    <row r="74" spans="1:6">
      <c r="A74" s="31"/>
      <c r="B74" s="31"/>
      <c r="C74" s="31"/>
      <c r="D74" s="31"/>
      <c r="E74" s="31"/>
      <c r="F74" s="31"/>
    </row>
    <row r="75" spans="1:6">
      <c r="A75" s="31"/>
      <c r="B75" s="31"/>
      <c r="C75" s="31"/>
      <c r="D75" s="31"/>
      <c r="E75" s="31"/>
      <c r="F75" s="31"/>
    </row>
    <row r="76" spans="1:6">
      <c r="A76" s="31"/>
      <c r="B76" s="31"/>
      <c r="C76" s="31"/>
      <c r="D76" s="31"/>
      <c r="E76" s="31"/>
      <c r="F76" s="31"/>
    </row>
    <row r="77" spans="1:6">
      <c r="A77" s="31"/>
      <c r="B77" s="31"/>
      <c r="C77" s="31"/>
      <c r="D77" s="31"/>
      <c r="E77" s="31"/>
      <c r="F77" s="31"/>
    </row>
    <row r="78" spans="1:6">
      <c r="A78" s="31"/>
      <c r="B78" s="31"/>
      <c r="C78" s="31"/>
      <c r="D78" s="31"/>
      <c r="E78" s="31"/>
      <c r="F78" s="31"/>
    </row>
    <row r="79" spans="1:6">
      <c r="A79" s="31"/>
      <c r="B79" s="31"/>
      <c r="C79" s="31"/>
      <c r="D79" s="31"/>
      <c r="E79" s="31"/>
      <c r="F79" s="31"/>
    </row>
    <row r="80" spans="1:6">
      <c r="A80" s="32"/>
      <c r="B80" s="32"/>
      <c r="C80" s="32"/>
      <c r="D80" s="32"/>
      <c r="E80" s="32"/>
      <c r="F80" s="32"/>
    </row>
    <row r="81" spans="1:6">
      <c r="A81" s="32"/>
      <c r="B81" s="32"/>
      <c r="C81" s="32"/>
      <c r="D81" s="32"/>
      <c r="E81" s="32"/>
      <c r="F81" s="32"/>
    </row>
    <row r="82" spans="1:6">
      <c r="A82" s="32"/>
      <c r="B82" s="32"/>
      <c r="C82" s="32"/>
      <c r="D82" s="32"/>
      <c r="E82" s="32"/>
      <c r="F82" s="32"/>
    </row>
    <row r="83" spans="1:6">
      <c r="A83" s="32"/>
      <c r="B83" s="32"/>
      <c r="C83" s="32"/>
      <c r="D83" s="32"/>
      <c r="E83" s="32"/>
      <c r="F83" s="32"/>
    </row>
    <row r="84" spans="1:6">
      <c r="A84" s="32"/>
      <c r="B84" s="32"/>
      <c r="C84" s="32"/>
      <c r="D84" s="32"/>
      <c r="E84" s="32"/>
      <c r="F84" s="32"/>
    </row>
    <row r="85" spans="1:6">
      <c r="A85" s="32"/>
      <c r="B85" s="32"/>
      <c r="C85" s="32"/>
      <c r="D85" s="32"/>
      <c r="E85" s="32"/>
      <c r="F85" s="32"/>
    </row>
    <row r="86" spans="1:6">
      <c r="A86" s="32"/>
      <c r="B86" s="32"/>
      <c r="C86" s="32"/>
      <c r="D86" s="32"/>
      <c r="E86" s="32"/>
      <c r="F86" s="32"/>
    </row>
    <row r="87" spans="1:6">
      <c r="A87" s="32"/>
      <c r="B87" s="32"/>
      <c r="C87" s="32"/>
      <c r="D87" s="32"/>
      <c r="E87" s="32"/>
      <c r="F87" s="32"/>
    </row>
    <row r="88" spans="1:6">
      <c r="A88" s="32"/>
      <c r="B88" s="32"/>
      <c r="C88" s="32"/>
      <c r="D88" s="32"/>
      <c r="E88" s="32"/>
      <c r="F88" s="32"/>
    </row>
    <row r="89" spans="1:6">
      <c r="A89" s="32"/>
      <c r="B89" s="32"/>
      <c r="C89" s="32"/>
      <c r="D89" s="32"/>
      <c r="E89" s="32"/>
      <c r="F89" s="32"/>
    </row>
    <row r="90" spans="1:6">
      <c r="A90" s="32"/>
      <c r="B90" s="32"/>
      <c r="C90" s="32"/>
      <c r="D90" s="32"/>
      <c r="E90" s="32"/>
      <c r="F90" s="32"/>
    </row>
    <row r="91" spans="1:6">
      <c r="A91" s="32"/>
      <c r="B91" s="32"/>
      <c r="C91" s="32"/>
      <c r="D91" s="32"/>
      <c r="E91" s="32"/>
      <c r="F91" s="32"/>
    </row>
    <row r="92" spans="1:6">
      <c r="A92" s="32"/>
      <c r="B92" s="32"/>
      <c r="C92" s="32"/>
      <c r="D92" s="32"/>
      <c r="E92" s="32"/>
      <c r="F92" s="32"/>
    </row>
    <row r="93" spans="1:6">
      <c r="A93" s="32"/>
      <c r="B93" s="32"/>
      <c r="C93" s="32"/>
      <c r="D93" s="32"/>
      <c r="E93" s="32"/>
      <c r="F93" s="32"/>
    </row>
    <row r="94" spans="1:6">
      <c r="A94" s="32"/>
      <c r="B94" s="32"/>
      <c r="C94" s="32"/>
      <c r="D94" s="32"/>
      <c r="E94" s="32"/>
      <c r="F94" s="32"/>
    </row>
    <row r="95" spans="1:6">
      <c r="A95" s="32"/>
      <c r="B95" s="32"/>
      <c r="C95" s="32"/>
      <c r="D95" s="32"/>
      <c r="E95" s="32"/>
      <c r="F95" s="32"/>
    </row>
    <row r="96" spans="1:6">
      <c r="A96" s="32"/>
      <c r="B96" s="32"/>
      <c r="C96" s="32"/>
      <c r="D96" s="32"/>
      <c r="E96" s="32"/>
      <c r="F96" s="32"/>
    </row>
    <row r="97" spans="1:6">
      <c r="A97" s="32"/>
      <c r="B97" s="32"/>
      <c r="C97" s="32"/>
      <c r="D97" s="32"/>
      <c r="E97" s="32"/>
      <c r="F97" s="32"/>
    </row>
    <row r="98" spans="1:6">
      <c r="A98" s="32"/>
      <c r="B98" s="32"/>
      <c r="C98" s="32"/>
      <c r="D98" s="32"/>
      <c r="E98" s="32"/>
      <c r="F98" s="32"/>
    </row>
    <row r="99" spans="1:6">
      <c r="A99" s="32"/>
      <c r="B99" s="32"/>
      <c r="C99" s="32"/>
      <c r="D99" s="32"/>
      <c r="E99" s="32"/>
      <c r="F99" s="32"/>
    </row>
    <row r="100" spans="1:6">
      <c r="A100" s="32"/>
      <c r="B100" s="32"/>
      <c r="C100" s="32"/>
      <c r="D100" s="32"/>
      <c r="E100" s="32"/>
      <c r="F100" s="32"/>
    </row>
    <row r="101" spans="1:6">
      <c r="A101" s="32"/>
      <c r="B101" s="32"/>
      <c r="C101" s="32"/>
      <c r="D101" s="32"/>
      <c r="E101" s="32"/>
      <c r="F101" s="32"/>
    </row>
    <row r="102" spans="1:6">
      <c r="A102" s="32"/>
      <c r="B102" s="32"/>
      <c r="C102" s="32"/>
      <c r="D102" s="32"/>
      <c r="E102" s="32"/>
      <c r="F102" s="32"/>
    </row>
    <row r="103" spans="1:6">
      <c r="A103" s="32"/>
      <c r="B103" s="32"/>
      <c r="C103" s="32"/>
      <c r="D103" s="32"/>
      <c r="E103" s="32"/>
      <c r="F103" s="32"/>
    </row>
    <row r="104" spans="1:6">
      <c r="A104" s="32"/>
      <c r="B104" s="32"/>
      <c r="C104" s="32"/>
      <c r="D104" s="32"/>
      <c r="E104" s="32"/>
      <c r="F104" s="32"/>
    </row>
    <row r="105" spans="1:6">
      <c r="A105" s="32"/>
      <c r="B105" s="32"/>
      <c r="C105" s="32"/>
      <c r="D105" s="32"/>
      <c r="E105" s="32"/>
      <c r="F105" s="32"/>
    </row>
    <row r="106" spans="1:6">
      <c r="A106" s="32"/>
      <c r="B106" s="32"/>
      <c r="C106" s="32"/>
      <c r="D106" s="32"/>
      <c r="E106" s="32"/>
      <c r="F106" s="32"/>
    </row>
    <row r="107" spans="1:6">
      <c r="A107" s="32"/>
      <c r="B107" s="32"/>
      <c r="C107" s="32"/>
      <c r="D107" s="32"/>
      <c r="E107" s="32"/>
      <c r="F107" s="32"/>
    </row>
    <row r="108" spans="1:6">
      <c r="A108" s="32"/>
      <c r="B108" s="32"/>
      <c r="C108" s="32"/>
      <c r="D108" s="32"/>
      <c r="E108" s="32"/>
      <c r="F108" s="32"/>
    </row>
    <row r="109" spans="1:6">
      <c r="A109" s="32"/>
      <c r="B109" s="32"/>
      <c r="C109" s="32"/>
      <c r="D109" s="32"/>
      <c r="E109" s="32"/>
      <c r="F109" s="32"/>
    </row>
    <row r="110" spans="1:6">
      <c r="A110" s="32"/>
      <c r="B110" s="32"/>
      <c r="C110" s="32"/>
      <c r="D110" s="32"/>
      <c r="E110" s="32"/>
      <c r="F110" s="32"/>
    </row>
    <row r="111" spans="1:6">
      <c r="A111" s="32"/>
      <c r="B111" s="32"/>
      <c r="C111" s="32"/>
      <c r="D111" s="32"/>
      <c r="E111" s="32"/>
      <c r="F111" s="32"/>
    </row>
    <row r="112" spans="1:6">
      <c r="A112" s="32"/>
      <c r="B112" s="32"/>
      <c r="C112" s="32"/>
      <c r="D112" s="32"/>
      <c r="E112" s="32"/>
      <c r="F112" s="32"/>
    </row>
    <row r="113" spans="1:6">
      <c r="A113" s="32"/>
      <c r="B113" s="32"/>
      <c r="C113" s="32"/>
      <c r="D113" s="32"/>
      <c r="E113" s="32"/>
      <c r="F113" s="32"/>
    </row>
    <row r="114" spans="1:6">
      <c r="A114" s="32"/>
      <c r="B114" s="32"/>
      <c r="C114" s="32"/>
      <c r="D114" s="32"/>
      <c r="E114" s="32"/>
      <c r="F114" s="32"/>
    </row>
    <row r="115" spans="1:6">
      <c r="A115" s="32"/>
      <c r="B115" s="32"/>
      <c r="C115" s="32"/>
      <c r="D115" s="32"/>
      <c r="E115" s="32"/>
      <c r="F115" s="32"/>
    </row>
    <row r="116" spans="1:6">
      <c r="A116" s="32"/>
      <c r="B116" s="32"/>
      <c r="C116" s="32"/>
      <c r="D116" s="32"/>
      <c r="E116" s="32"/>
      <c r="F116" s="32"/>
    </row>
    <row r="117" spans="1:6">
      <c r="A117" s="32"/>
      <c r="B117" s="32"/>
      <c r="C117" s="32"/>
      <c r="D117" s="32"/>
      <c r="E117" s="32"/>
      <c r="F117" s="32"/>
    </row>
    <row r="118" spans="1:6">
      <c r="A118" s="32"/>
      <c r="B118" s="32"/>
      <c r="C118" s="32"/>
      <c r="D118" s="32"/>
      <c r="E118" s="32"/>
      <c r="F118" s="32"/>
    </row>
    <row r="119" spans="1:6">
      <c r="A119" s="32"/>
      <c r="B119" s="32"/>
      <c r="C119" s="32"/>
      <c r="D119" s="32"/>
      <c r="E119" s="32"/>
      <c r="F119" s="32"/>
    </row>
    <row r="120" spans="1:6">
      <c r="A120" s="32"/>
      <c r="B120" s="32"/>
      <c r="C120" s="32"/>
      <c r="D120" s="32"/>
      <c r="E120" s="32"/>
      <c r="F120" s="32"/>
    </row>
    <row r="121" spans="1:6">
      <c r="A121" s="32"/>
      <c r="B121" s="32"/>
      <c r="C121" s="32"/>
      <c r="D121" s="32"/>
      <c r="E121" s="32"/>
      <c r="F121" s="32"/>
    </row>
    <row r="122" spans="1:6">
      <c r="A122" s="32"/>
      <c r="B122" s="32"/>
      <c r="C122" s="32"/>
      <c r="D122" s="32"/>
      <c r="E122" s="32"/>
      <c r="F122" s="32"/>
    </row>
    <row r="123" spans="1:6">
      <c r="A123" s="32"/>
      <c r="B123" s="32"/>
      <c r="C123" s="32"/>
      <c r="D123" s="32"/>
      <c r="E123" s="32"/>
      <c r="F123" s="32"/>
    </row>
    <row r="124" spans="1:6">
      <c r="A124" s="32"/>
      <c r="B124" s="32"/>
      <c r="C124" s="32"/>
      <c r="D124" s="32"/>
      <c r="E124" s="32"/>
      <c r="F124" s="32"/>
    </row>
    <row r="125" spans="1:6">
      <c r="A125" s="32"/>
      <c r="B125" s="32"/>
      <c r="C125" s="32"/>
      <c r="D125" s="32"/>
      <c r="E125" s="32"/>
      <c r="F125" s="32"/>
    </row>
    <row r="126" spans="1:6">
      <c r="A126" s="32"/>
      <c r="B126" s="32"/>
      <c r="C126" s="32"/>
      <c r="D126" s="32"/>
      <c r="E126" s="32"/>
      <c r="F126" s="32"/>
    </row>
    <row r="127" spans="1:6">
      <c r="A127" s="32"/>
      <c r="B127" s="32"/>
      <c r="C127" s="32"/>
      <c r="D127" s="32"/>
      <c r="E127" s="32"/>
      <c r="F127" s="32"/>
    </row>
    <row r="128" spans="1:6">
      <c r="A128" s="32"/>
      <c r="B128" s="32"/>
      <c r="C128" s="32"/>
      <c r="D128" s="32"/>
      <c r="E128" s="32"/>
      <c r="F128" s="32"/>
    </row>
    <row r="129" spans="1:6">
      <c r="A129" s="32"/>
      <c r="B129" s="32"/>
      <c r="C129" s="32"/>
      <c r="D129" s="32"/>
      <c r="E129" s="32"/>
      <c r="F129" s="32"/>
    </row>
    <row r="130" spans="1:6">
      <c r="A130" s="32"/>
      <c r="B130" s="32"/>
      <c r="C130" s="32"/>
      <c r="D130" s="32"/>
      <c r="E130" s="32"/>
      <c r="F130" s="32"/>
    </row>
    <row r="131" spans="1:6">
      <c r="A131" s="32"/>
      <c r="B131" s="32"/>
      <c r="C131" s="32"/>
      <c r="D131" s="32"/>
      <c r="E131" s="32"/>
      <c r="F131" s="32"/>
    </row>
    <row r="132" spans="1:6">
      <c r="A132" s="32"/>
      <c r="B132" s="32"/>
      <c r="C132" s="32"/>
      <c r="D132" s="32"/>
      <c r="E132" s="32"/>
      <c r="F132" s="32"/>
    </row>
    <row r="133" spans="1:6">
      <c r="A133" s="32"/>
      <c r="B133" s="32"/>
      <c r="C133" s="32"/>
      <c r="D133" s="32"/>
      <c r="E133" s="32"/>
      <c r="F133" s="32"/>
    </row>
  </sheetData>
  <mergeCells count="16">
    <mergeCell ref="A53:F53"/>
    <mergeCell ref="C10:F10"/>
    <mergeCell ref="A11:A14"/>
    <mergeCell ref="B11:B14"/>
    <mergeCell ref="C11:F11"/>
    <mergeCell ref="C12:C14"/>
    <mergeCell ref="D12:F12"/>
    <mergeCell ref="D13:E13"/>
    <mergeCell ref="F13:F14"/>
    <mergeCell ref="D1:F1"/>
    <mergeCell ref="D2:F2"/>
    <mergeCell ref="D3:F3"/>
    <mergeCell ref="D4:F4"/>
    <mergeCell ref="A52:F52"/>
    <mergeCell ref="A9:F9"/>
    <mergeCell ref="D7:F7"/>
  </mergeCells>
  <phoneticPr fontId="4" type="noConversion"/>
  <pageMargins left="0.78740157480314965" right="0.39370078740157483" top="0.39370078740157483" bottom="0.39370078740157483" header="0" footer="0"/>
  <pageSetup paperSize="9" scale="9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L133"/>
  <sheetViews>
    <sheetView zoomScale="134" zoomScaleNormal="134" workbookViewId="0">
      <selection activeCell="F7" sqref="F7:H7"/>
    </sheetView>
  </sheetViews>
  <sheetFormatPr defaultColWidth="8.85546875" defaultRowHeight="12.75"/>
  <cols>
    <col min="1" max="1" width="5" style="55" customWidth="1"/>
    <col min="2" max="2" width="35.28515625" style="55" customWidth="1"/>
    <col min="3" max="4" width="9" style="55" bestFit="1" customWidth="1"/>
    <col min="5" max="5" width="8.28515625" style="55" bestFit="1" customWidth="1"/>
    <col min="6" max="6" width="11.28515625" style="55" customWidth="1"/>
    <col min="7" max="7" width="7.85546875" style="55" customWidth="1"/>
    <col min="8" max="8" width="9.5703125" style="55" bestFit="1" customWidth="1"/>
    <col min="9" max="9" width="8" style="55" customWidth="1"/>
    <col min="10" max="16384" width="8.85546875" style="55"/>
  </cols>
  <sheetData>
    <row r="1" spans="1:9" ht="12.75" customHeight="1">
      <c r="A1" s="3"/>
      <c r="B1" s="3"/>
      <c r="C1" s="19"/>
      <c r="D1" s="19"/>
      <c r="E1" s="19"/>
      <c r="F1" s="86" t="s">
        <v>5</v>
      </c>
      <c r="G1" s="86"/>
      <c r="H1" s="86"/>
      <c r="I1" s="19"/>
    </row>
    <row r="2" spans="1:9" ht="12.75" customHeight="1">
      <c r="A2" s="3"/>
      <c r="B2" s="3"/>
      <c r="C2" s="19"/>
      <c r="D2" s="19"/>
      <c r="E2" s="19"/>
      <c r="F2" s="86" t="s">
        <v>166</v>
      </c>
      <c r="G2" s="86"/>
      <c r="H2" s="86"/>
      <c r="I2" s="19"/>
    </row>
    <row r="3" spans="1:9" ht="12.75" customHeight="1">
      <c r="A3" s="1"/>
      <c r="B3" s="3"/>
      <c r="C3" s="19"/>
      <c r="D3" s="19"/>
      <c r="E3" s="19"/>
      <c r="F3" s="86" t="s">
        <v>194</v>
      </c>
      <c r="G3" s="86"/>
      <c r="H3" s="86"/>
      <c r="I3" s="19"/>
    </row>
    <row r="4" spans="1:9">
      <c r="A4" s="1"/>
      <c r="B4" s="8"/>
      <c r="C4" s="8"/>
      <c r="D4" s="8"/>
      <c r="E4" s="8"/>
      <c r="F4" s="87" t="s">
        <v>73</v>
      </c>
      <c r="G4" s="87"/>
      <c r="H4" s="87"/>
      <c r="I4" s="8"/>
    </row>
    <row r="5" spans="1:9">
      <c r="A5" s="1"/>
      <c r="B5" s="8"/>
      <c r="C5" s="8"/>
      <c r="D5" s="8"/>
      <c r="E5" s="8"/>
      <c r="F5" s="50" t="s">
        <v>193</v>
      </c>
      <c r="G5" s="50"/>
      <c r="H5" s="50"/>
      <c r="I5" s="8"/>
    </row>
    <row r="6" spans="1:9">
      <c r="A6" s="1"/>
      <c r="B6" s="8"/>
      <c r="C6" s="8"/>
      <c r="D6" s="8"/>
      <c r="E6" s="8"/>
      <c r="F6" s="8" t="s">
        <v>195</v>
      </c>
      <c r="G6" s="8"/>
      <c r="H6" s="50"/>
      <c r="I6" s="8"/>
    </row>
    <row r="7" spans="1:9">
      <c r="A7" s="1"/>
      <c r="B7" s="8"/>
      <c r="C7" s="8"/>
      <c r="D7" s="8"/>
      <c r="E7" s="8"/>
      <c r="F7" s="87" t="s">
        <v>198</v>
      </c>
      <c r="G7" s="87"/>
      <c r="H7" s="87"/>
      <c r="I7" s="8"/>
    </row>
    <row r="8" spans="1:9">
      <c r="A8" s="1"/>
      <c r="B8" s="8"/>
      <c r="C8" s="8"/>
      <c r="D8" s="50"/>
      <c r="E8" s="50"/>
      <c r="F8" s="50"/>
      <c r="G8" s="50"/>
      <c r="H8" s="50"/>
      <c r="I8" s="50"/>
    </row>
    <row r="9" spans="1:9">
      <c r="A9" s="89" t="s">
        <v>188</v>
      </c>
      <c r="B9" s="89"/>
      <c r="C9" s="89"/>
      <c r="D9" s="89"/>
      <c r="E9" s="89"/>
      <c r="F9" s="89"/>
      <c r="G9" s="89"/>
      <c r="H9" s="89"/>
      <c r="I9" s="89"/>
    </row>
    <row r="10" spans="1:9">
      <c r="A10" s="89" t="s">
        <v>187</v>
      </c>
      <c r="B10" s="89"/>
      <c r="C10" s="89"/>
      <c r="D10" s="89"/>
      <c r="E10" s="89"/>
      <c r="F10" s="89"/>
      <c r="G10" s="89"/>
      <c r="H10" s="89"/>
      <c r="I10" s="89"/>
    </row>
    <row r="11" spans="1:9">
      <c r="A11" s="1"/>
      <c r="B11" s="3"/>
      <c r="C11" s="91" t="s">
        <v>144</v>
      </c>
      <c r="D11" s="91"/>
      <c r="E11" s="91"/>
      <c r="F11" s="91"/>
      <c r="G11" s="91"/>
      <c r="H11" s="91"/>
      <c r="I11" s="91"/>
    </row>
    <row r="12" spans="1:9">
      <c r="A12" s="102" t="s">
        <v>32</v>
      </c>
      <c r="B12" s="102" t="s">
        <v>65</v>
      </c>
      <c r="C12" s="106" t="s">
        <v>70</v>
      </c>
      <c r="D12" s="107"/>
      <c r="E12" s="107"/>
      <c r="F12" s="107"/>
      <c r="G12" s="107"/>
      <c r="H12" s="107"/>
      <c r="I12" s="108"/>
    </row>
    <row r="13" spans="1:9">
      <c r="A13" s="103"/>
      <c r="B13" s="105"/>
      <c r="C13" s="102" t="s">
        <v>2</v>
      </c>
      <c r="D13" s="109" t="s">
        <v>3</v>
      </c>
      <c r="E13" s="109"/>
      <c r="F13" s="109"/>
      <c r="G13" s="109"/>
      <c r="H13" s="109"/>
      <c r="I13" s="109"/>
    </row>
    <row r="14" spans="1:9" ht="45.75" customHeight="1">
      <c r="A14" s="104"/>
      <c r="B14" s="105"/>
      <c r="C14" s="104"/>
      <c r="D14" s="10" t="s">
        <v>62</v>
      </c>
      <c r="E14" s="10" t="s">
        <v>157</v>
      </c>
      <c r="F14" s="10" t="s">
        <v>63</v>
      </c>
      <c r="G14" s="10" t="s">
        <v>145</v>
      </c>
      <c r="H14" s="10" t="s">
        <v>64</v>
      </c>
      <c r="I14" s="10" t="s">
        <v>173</v>
      </c>
    </row>
    <row r="15" spans="1:9">
      <c r="A15" s="5">
        <v>1</v>
      </c>
      <c r="B15" s="34">
        <v>2</v>
      </c>
      <c r="C15" s="35">
        <v>3</v>
      </c>
      <c r="D15" s="35">
        <v>4</v>
      </c>
      <c r="E15" s="35">
        <v>5</v>
      </c>
      <c r="F15" s="35">
        <v>6</v>
      </c>
      <c r="G15" s="35">
        <v>7</v>
      </c>
      <c r="H15" s="35">
        <v>8</v>
      </c>
      <c r="I15" s="35">
        <v>9</v>
      </c>
    </row>
    <row r="16" spans="1:9">
      <c r="A16" s="62" t="s">
        <v>33</v>
      </c>
      <c r="B16" s="63" t="s">
        <v>10</v>
      </c>
      <c r="C16" s="64">
        <f>SUM(D16:I16)</f>
        <v>1193600</v>
      </c>
      <c r="D16" s="65">
        <v>295700</v>
      </c>
      <c r="E16" s="65">
        <v>849800</v>
      </c>
      <c r="F16" s="65">
        <v>18000</v>
      </c>
      <c r="G16" s="65">
        <f>3000+1800</f>
        <v>4800</v>
      </c>
      <c r="H16" s="65">
        <f>12000+13300</f>
        <v>25300</v>
      </c>
      <c r="I16" s="65"/>
    </row>
    <row r="17" spans="1:11">
      <c r="A17" s="62" t="s">
        <v>34</v>
      </c>
      <c r="B17" s="63" t="s">
        <v>134</v>
      </c>
      <c r="C17" s="64">
        <f t="shared" ref="C17:C49" si="0">SUM(D17:I17)</f>
        <v>850500</v>
      </c>
      <c r="D17" s="65">
        <v>248700</v>
      </c>
      <c r="E17" s="65">
        <v>554800</v>
      </c>
      <c r="F17" s="65">
        <v>24400</v>
      </c>
      <c r="G17" s="65">
        <f>1100+500</f>
        <v>1600</v>
      </c>
      <c r="H17" s="65">
        <v>21000</v>
      </c>
      <c r="I17" s="65"/>
      <c r="K17" s="22"/>
    </row>
    <row r="18" spans="1:11">
      <c r="A18" s="66" t="s">
        <v>35</v>
      </c>
      <c r="B18" s="63" t="s">
        <v>141</v>
      </c>
      <c r="C18" s="64">
        <f t="shared" si="0"/>
        <v>949700</v>
      </c>
      <c r="D18" s="65">
        <v>324900</v>
      </c>
      <c r="E18" s="65">
        <v>575500</v>
      </c>
      <c r="F18" s="65">
        <v>28000</v>
      </c>
      <c r="G18" s="68">
        <f>1100+200</f>
        <v>1300</v>
      </c>
      <c r="H18" s="68">
        <v>20000</v>
      </c>
      <c r="I18" s="68"/>
    </row>
    <row r="19" spans="1:11">
      <c r="A19" s="66" t="s">
        <v>36</v>
      </c>
      <c r="B19" s="63" t="s">
        <v>135</v>
      </c>
      <c r="C19" s="64">
        <f t="shared" si="0"/>
        <v>1169200</v>
      </c>
      <c r="D19" s="65">
        <v>342400</v>
      </c>
      <c r="E19" s="65">
        <v>760600</v>
      </c>
      <c r="F19" s="65">
        <v>34200</v>
      </c>
      <c r="G19" s="68">
        <f>1700+300</f>
        <v>2000</v>
      </c>
      <c r="H19" s="68">
        <v>30000</v>
      </c>
      <c r="I19" s="68"/>
    </row>
    <row r="20" spans="1:11">
      <c r="A20" s="66" t="s">
        <v>37</v>
      </c>
      <c r="B20" s="63" t="s">
        <v>142</v>
      </c>
      <c r="C20" s="64">
        <f t="shared" si="0"/>
        <v>1863200</v>
      </c>
      <c r="D20" s="65">
        <v>449200</v>
      </c>
      <c r="E20" s="65">
        <v>1305000</v>
      </c>
      <c r="F20" s="65">
        <v>82700</v>
      </c>
      <c r="G20" s="68">
        <f>8600+800</f>
        <v>9400</v>
      </c>
      <c r="H20" s="68">
        <f>16900+1100-1100</f>
        <v>16900</v>
      </c>
      <c r="I20" s="68"/>
    </row>
    <row r="21" spans="1:11">
      <c r="A21" s="66" t="s">
        <v>38</v>
      </c>
      <c r="B21" s="63" t="s">
        <v>190</v>
      </c>
      <c r="C21" s="64">
        <f t="shared" si="0"/>
        <v>1365600</v>
      </c>
      <c r="D21" s="65">
        <v>287400</v>
      </c>
      <c r="E21" s="65">
        <v>912300</v>
      </c>
      <c r="F21" s="65">
        <v>48600</v>
      </c>
      <c r="G21" s="68">
        <f>106600+1500+2200</f>
        <v>110300</v>
      </c>
      <c r="H21" s="68">
        <v>7000</v>
      </c>
      <c r="I21" s="68"/>
    </row>
    <row r="22" spans="1:11">
      <c r="A22" s="66" t="s">
        <v>39</v>
      </c>
      <c r="B22" s="63" t="s">
        <v>139</v>
      </c>
      <c r="C22" s="64">
        <f t="shared" si="0"/>
        <v>721000</v>
      </c>
      <c r="D22" s="65">
        <f>249400+14000</f>
        <v>263400</v>
      </c>
      <c r="E22" s="65">
        <v>425300</v>
      </c>
      <c r="F22" s="65">
        <v>20600</v>
      </c>
      <c r="G22" s="68">
        <f>600+300</f>
        <v>900</v>
      </c>
      <c r="H22" s="68">
        <v>10800</v>
      </c>
      <c r="I22" s="68"/>
    </row>
    <row r="23" spans="1:11">
      <c r="A23" s="66" t="s">
        <v>40</v>
      </c>
      <c r="B23" s="63" t="s">
        <v>11</v>
      </c>
      <c r="C23" s="64">
        <f t="shared" si="0"/>
        <v>707700</v>
      </c>
      <c r="D23" s="65">
        <v>226300</v>
      </c>
      <c r="E23" s="65">
        <v>436200</v>
      </c>
      <c r="F23" s="65">
        <v>13200</v>
      </c>
      <c r="G23" s="68">
        <f>9200+800</f>
        <v>10000</v>
      </c>
      <c r="H23" s="68">
        <v>22000</v>
      </c>
      <c r="I23" s="68"/>
    </row>
    <row r="24" spans="1:11">
      <c r="A24" s="66" t="s">
        <v>41</v>
      </c>
      <c r="B24" s="63" t="s">
        <v>136</v>
      </c>
      <c r="C24" s="64">
        <f t="shared" si="0"/>
        <v>487300</v>
      </c>
      <c r="D24" s="65">
        <v>161700</v>
      </c>
      <c r="E24" s="65">
        <v>302300</v>
      </c>
      <c r="F24" s="65">
        <v>11200</v>
      </c>
      <c r="G24" s="68">
        <v>400</v>
      </c>
      <c r="H24" s="68">
        <v>11700</v>
      </c>
      <c r="I24" s="68"/>
    </row>
    <row r="25" spans="1:11">
      <c r="A25" s="66" t="s">
        <v>42</v>
      </c>
      <c r="B25" s="63" t="s">
        <v>137</v>
      </c>
      <c r="C25" s="64">
        <f t="shared" si="0"/>
        <v>724600</v>
      </c>
      <c r="D25" s="65">
        <f>213400+12000</f>
        <v>225400</v>
      </c>
      <c r="E25" s="65">
        <v>448500</v>
      </c>
      <c r="F25" s="65">
        <v>25200</v>
      </c>
      <c r="G25" s="68">
        <f>8600+100</f>
        <v>8700</v>
      </c>
      <c r="H25" s="68">
        <f>14500+2300</f>
        <v>16800</v>
      </c>
      <c r="I25" s="68"/>
    </row>
    <row r="26" spans="1:11">
      <c r="A26" s="66" t="s">
        <v>43</v>
      </c>
      <c r="B26" s="63" t="s">
        <v>143</v>
      </c>
      <c r="C26" s="64">
        <f t="shared" si="0"/>
        <v>387400</v>
      </c>
      <c r="D26" s="65">
        <v>117400</v>
      </c>
      <c r="E26" s="65">
        <v>257800</v>
      </c>
      <c r="F26" s="65">
        <v>11100</v>
      </c>
      <c r="G26" s="68"/>
      <c r="H26" s="68">
        <v>1100</v>
      </c>
      <c r="I26" s="68"/>
    </row>
    <row r="27" spans="1:11">
      <c r="A27" s="66" t="s">
        <v>44</v>
      </c>
      <c r="B27" s="63" t="s">
        <v>12</v>
      </c>
      <c r="C27" s="64">
        <f t="shared" si="0"/>
        <v>585200</v>
      </c>
      <c r="D27" s="65">
        <v>316200</v>
      </c>
      <c r="E27" s="65">
        <v>195800</v>
      </c>
      <c r="F27" s="65">
        <v>4800</v>
      </c>
      <c r="G27" s="65">
        <f>8700+400</f>
        <v>9100</v>
      </c>
      <c r="H27" s="65">
        <v>59300</v>
      </c>
      <c r="I27" s="65"/>
    </row>
    <row r="28" spans="1:11">
      <c r="A28" s="66" t="s">
        <v>45</v>
      </c>
      <c r="B28" s="63" t="s">
        <v>13</v>
      </c>
      <c r="C28" s="64">
        <f t="shared" si="0"/>
        <v>829700</v>
      </c>
      <c r="D28" s="65">
        <v>508200</v>
      </c>
      <c r="E28" s="65">
        <v>267800</v>
      </c>
      <c r="F28" s="65"/>
      <c r="G28" s="65">
        <v>100</v>
      </c>
      <c r="H28" s="65">
        <v>53600</v>
      </c>
      <c r="I28" s="65"/>
    </row>
    <row r="29" spans="1:11">
      <c r="A29" s="66" t="s">
        <v>46</v>
      </c>
      <c r="B29" s="63" t="s">
        <v>67</v>
      </c>
      <c r="C29" s="64">
        <f t="shared" si="0"/>
        <v>539200</v>
      </c>
      <c r="D29" s="65">
        <v>283800</v>
      </c>
      <c r="E29" s="65">
        <v>192600</v>
      </c>
      <c r="F29" s="65"/>
      <c r="G29" s="65">
        <v>300</v>
      </c>
      <c r="H29" s="65">
        <v>62500</v>
      </c>
      <c r="I29" s="65"/>
    </row>
    <row r="30" spans="1:11">
      <c r="A30" s="66" t="s">
        <v>47</v>
      </c>
      <c r="B30" s="63" t="s">
        <v>138</v>
      </c>
      <c r="C30" s="64">
        <f t="shared" si="0"/>
        <v>183700</v>
      </c>
      <c r="D30" s="65">
        <v>174200</v>
      </c>
      <c r="E30" s="65">
        <v>4000</v>
      </c>
      <c r="F30" s="65"/>
      <c r="G30" s="68"/>
      <c r="H30" s="68">
        <v>5500</v>
      </c>
      <c r="I30" s="68"/>
    </row>
    <row r="31" spans="1:11">
      <c r="A31" s="66" t="s">
        <v>48</v>
      </c>
      <c r="B31" s="63" t="s">
        <v>20</v>
      </c>
      <c r="C31" s="64">
        <f t="shared" si="0"/>
        <v>439600</v>
      </c>
      <c r="D31" s="65">
        <v>402000</v>
      </c>
      <c r="E31" s="65">
        <v>15500</v>
      </c>
      <c r="F31" s="65"/>
      <c r="G31" s="65"/>
      <c r="H31" s="65">
        <v>22100</v>
      </c>
      <c r="I31" s="65"/>
    </row>
    <row r="32" spans="1:11" ht="25.5">
      <c r="A32" s="66" t="s">
        <v>49</v>
      </c>
      <c r="B32" s="63" t="s">
        <v>133</v>
      </c>
      <c r="C32" s="64">
        <f t="shared" si="0"/>
        <v>206100</v>
      </c>
      <c r="D32" s="65">
        <v>187300</v>
      </c>
      <c r="E32" s="65">
        <v>7600</v>
      </c>
      <c r="F32" s="65"/>
      <c r="G32" s="68">
        <v>200</v>
      </c>
      <c r="H32" s="68">
        <v>11000</v>
      </c>
      <c r="I32" s="68"/>
    </row>
    <row r="33" spans="1:12" ht="12.75" customHeight="1">
      <c r="A33" s="66" t="s">
        <v>50</v>
      </c>
      <c r="B33" s="63" t="s">
        <v>25</v>
      </c>
      <c r="C33" s="64">
        <f t="shared" si="0"/>
        <v>562800</v>
      </c>
      <c r="D33" s="65">
        <v>479500</v>
      </c>
      <c r="E33" s="65">
        <v>23100</v>
      </c>
      <c r="F33" s="65"/>
      <c r="G33" s="68">
        <v>200</v>
      </c>
      <c r="H33" s="68">
        <v>60000</v>
      </c>
      <c r="I33" s="68"/>
    </row>
    <row r="34" spans="1:12">
      <c r="A34" s="66" t="s">
        <v>51</v>
      </c>
      <c r="B34" s="63" t="s">
        <v>153</v>
      </c>
      <c r="C34" s="64">
        <f t="shared" si="0"/>
        <v>203600</v>
      </c>
      <c r="D34" s="65">
        <v>143600</v>
      </c>
      <c r="E34" s="65">
        <v>57900</v>
      </c>
      <c r="F34" s="65"/>
      <c r="G34" s="68">
        <v>100</v>
      </c>
      <c r="H34" s="68">
        <v>2000</v>
      </c>
      <c r="I34" s="68"/>
    </row>
    <row r="35" spans="1:12">
      <c r="A35" s="66" t="s">
        <v>52</v>
      </c>
      <c r="B35" s="69" t="s">
        <v>22</v>
      </c>
      <c r="C35" s="79">
        <f t="shared" si="0"/>
        <v>220100</v>
      </c>
      <c r="D35" s="65">
        <f>210000+4200</f>
        <v>214200</v>
      </c>
      <c r="E35" s="65"/>
      <c r="F35" s="65">
        <v>1900</v>
      </c>
      <c r="G35" s="71">
        <v>2500</v>
      </c>
      <c r="H35" s="71">
        <v>1500</v>
      </c>
      <c r="I35" s="71"/>
    </row>
    <row r="36" spans="1:12" ht="25.5">
      <c r="A36" s="66" t="s">
        <v>53</v>
      </c>
      <c r="B36" s="78" t="s">
        <v>132</v>
      </c>
      <c r="C36" s="80">
        <f t="shared" si="0"/>
        <v>786200</v>
      </c>
      <c r="D36" s="68">
        <f>738700+4000</f>
        <v>742700</v>
      </c>
      <c r="E36" s="68"/>
      <c r="F36" s="68"/>
      <c r="G36" s="73">
        <f>9900+30100+3200</f>
        <v>43200</v>
      </c>
      <c r="H36" s="73">
        <v>300</v>
      </c>
      <c r="I36" s="73"/>
    </row>
    <row r="37" spans="1:12">
      <c r="A37" s="66" t="s">
        <v>54</v>
      </c>
      <c r="B37" s="69" t="s">
        <v>27</v>
      </c>
      <c r="C37" s="80">
        <f t="shared" si="0"/>
        <v>499500</v>
      </c>
      <c r="D37" s="65">
        <f>470100+5800</f>
        <v>475900</v>
      </c>
      <c r="E37" s="65"/>
      <c r="F37" s="65"/>
      <c r="G37" s="73">
        <f>4600+3900+1600</f>
        <v>10100</v>
      </c>
      <c r="H37" s="73">
        <v>13500</v>
      </c>
      <c r="I37" s="73"/>
    </row>
    <row r="38" spans="1:12">
      <c r="A38" s="66" t="s">
        <v>55</v>
      </c>
      <c r="B38" s="69" t="s">
        <v>71</v>
      </c>
      <c r="C38" s="80">
        <f t="shared" si="0"/>
        <v>82200</v>
      </c>
      <c r="D38" s="65">
        <v>81000</v>
      </c>
      <c r="E38" s="65"/>
      <c r="F38" s="65"/>
      <c r="G38" s="73">
        <f>1000+100</f>
        <v>1100</v>
      </c>
      <c r="H38" s="73">
        <v>100</v>
      </c>
      <c r="I38" s="73"/>
    </row>
    <row r="39" spans="1:12">
      <c r="A39" s="66" t="s">
        <v>56</v>
      </c>
      <c r="B39" s="69" t="s">
        <v>23</v>
      </c>
      <c r="C39" s="80">
        <f t="shared" si="0"/>
        <v>76100</v>
      </c>
      <c r="D39" s="65">
        <v>74600</v>
      </c>
      <c r="E39" s="65"/>
      <c r="F39" s="65"/>
      <c r="G39" s="73">
        <f>1000+100</f>
        <v>1100</v>
      </c>
      <c r="H39" s="73">
        <v>400</v>
      </c>
      <c r="I39" s="73"/>
    </row>
    <row r="40" spans="1:12">
      <c r="A40" s="66" t="s">
        <v>57</v>
      </c>
      <c r="B40" s="69" t="s">
        <v>126</v>
      </c>
      <c r="C40" s="80">
        <f t="shared" si="0"/>
        <v>78400</v>
      </c>
      <c r="D40" s="65">
        <v>77100</v>
      </c>
      <c r="E40" s="65"/>
      <c r="F40" s="65"/>
      <c r="G40" s="73">
        <v>1000</v>
      </c>
      <c r="H40" s="73">
        <v>300</v>
      </c>
      <c r="I40" s="73"/>
    </row>
    <row r="41" spans="1:12">
      <c r="A41" s="66" t="s">
        <v>58</v>
      </c>
      <c r="B41" s="69" t="s">
        <v>24</v>
      </c>
      <c r="C41" s="80">
        <f t="shared" si="0"/>
        <v>103800</v>
      </c>
      <c r="D41" s="65">
        <v>102700</v>
      </c>
      <c r="E41" s="65"/>
      <c r="F41" s="65"/>
      <c r="G41" s="73">
        <v>1000</v>
      </c>
      <c r="H41" s="73">
        <v>100</v>
      </c>
      <c r="I41" s="73"/>
    </row>
    <row r="42" spans="1:12">
      <c r="A42" s="66" t="s">
        <v>59</v>
      </c>
      <c r="B42" s="77" t="s">
        <v>125</v>
      </c>
      <c r="C42" s="80">
        <f t="shared" si="0"/>
        <v>294200</v>
      </c>
      <c r="D42" s="65">
        <f>30600+800</f>
        <v>31400</v>
      </c>
      <c r="E42" s="65"/>
      <c r="F42" s="65">
        <v>259600</v>
      </c>
      <c r="G42" s="72">
        <v>200</v>
      </c>
      <c r="H42" s="72">
        <v>3000</v>
      </c>
      <c r="I42" s="72"/>
      <c r="L42" s="56"/>
    </row>
    <row r="43" spans="1:12">
      <c r="A43" s="66" t="s">
        <v>115</v>
      </c>
      <c r="B43" s="74" t="s">
        <v>127</v>
      </c>
      <c r="C43" s="64">
        <f t="shared" si="0"/>
        <v>92100</v>
      </c>
      <c r="D43" s="65">
        <v>92100</v>
      </c>
      <c r="E43" s="65"/>
      <c r="F43" s="65"/>
      <c r="G43" s="72"/>
      <c r="H43" s="72"/>
      <c r="I43" s="72"/>
    </row>
    <row r="44" spans="1:12">
      <c r="A44" s="66" t="s">
        <v>116</v>
      </c>
      <c r="B44" s="74" t="s">
        <v>131</v>
      </c>
      <c r="C44" s="64">
        <f t="shared" si="0"/>
        <v>761400</v>
      </c>
      <c r="D44" s="65">
        <v>95300</v>
      </c>
      <c r="E44" s="65"/>
      <c r="F44" s="65">
        <v>666100</v>
      </c>
      <c r="G44" s="72"/>
      <c r="H44" s="72"/>
      <c r="I44" s="72"/>
    </row>
    <row r="45" spans="1:12" ht="25.5">
      <c r="A45" s="66" t="s">
        <v>117</v>
      </c>
      <c r="B45" s="74" t="s">
        <v>128</v>
      </c>
      <c r="C45" s="64">
        <f t="shared" si="0"/>
        <v>355100</v>
      </c>
      <c r="D45" s="65">
        <f>285400+69700</f>
        <v>355100</v>
      </c>
      <c r="E45" s="65"/>
      <c r="F45" s="65"/>
      <c r="G45" s="72"/>
      <c r="H45" s="72"/>
      <c r="I45" s="72"/>
    </row>
    <row r="46" spans="1:12">
      <c r="A46" s="66" t="s">
        <v>118</v>
      </c>
      <c r="B46" s="74" t="s">
        <v>66</v>
      </c>
      <c r="C46" s="64">
        <f t="shared" si="0"/>
        <v>1019700</v>
      </c>
      <c r="D46" s="65">
        <f>437100+1900</f>
        <v>439000</v>
      </c>
      <c r="E46" s="65"/>
      <c r="F46" s="65">
        <v>514200</v>
      </c>
      <c r="G46" s="72">
        <f>7200+28200+1100</f>
        <v>36500</v>
      </c>
      <c r="H46" s="72">
        <v>30000</v>
      </c>
      <c r="I46" s="72"/>
    </row>
    <row r="47" spans="1:12">
      <c r="A47" s="66" t="s">
        <v>119</v>
      </c>
      <c r="B47" s="74" t="s">
        <v>155</v>
      </c>
      <c r="C47" s="64">
        <f t="shared" si="0"/>
        <v>667300</v>
      </c>
      <c r="D47" s="65">
        <v>650000</v>
      </c>
      <c r="E47" s="65"/>
      <c r="F47" s="65"/>
      <c r="G47" s="72">
        <f>10700+4800</f>
        <v>15500</v>
      </c>
      <c r="H47" s="72">
        <v>1800</v>
      </c>
      <c r="I47" s="72"/>
    </row>
    <row r="48" spans="1:12">
      <c r="A48" s="75" t="s">
        <v>120</v>
      </c>
      <c r="B48" s="74" t="s">
        <v>31</v>
      </c>
      <c r="C48" s="64">
        <f t="shared" si="0"/>
        <v>1554200</v>
      </c>
      <c r="D48" s="65">
        <v>155800</v>
      </c>
      <c r="E48" s="65"/>
      <c r="F48" s="65">
        <v>216000</v>
      </c>
      <c r="G48" s="72">
        <f>114600+12600+7100+14100</f>
        <v>148400</v>
      </c>
      <c r="H48" s="72">
        <v>1034000</v>
      </c>
      <c r="I48" s="72"/>
    </row>
    <row r="49" spans="1:9">
      <c r="A49" s="75" t="s">
        <v>121</v>
      </c>
      <c r="B49" s="74" t="s">
        <v>26</v>
      </c>
      <c r="C49" s="64">
        <f t="shared" si="0"/>
        <v>11401400</v>
      </c>
      <c r="D49" s="72">
        <f>8133200+106100-28700-69700</f>
        <v>8140900</v>
      </c>
      <c r="E49" s="72">
        <v>21700</v>
      </c>
      <c r="F49" s="72">
        <v>1022700</v>
      </c>
      <c r="G49" s="72">
        <f>35500+125300+1475600+18700+5100+69700</f>
        <v>1729900</v>
      </c>
      <c r="H49" s="72">
        <f>65000+800</f>
        <v>65800</v>
      </c>
      <c r="I49" s="72">
        <f>8400+367000+45000</f>
        <v>420400</v>
      </c>
    </row>
    <row r="50" spans="1:9">
      <c r="A50" s="66"/>
      <c r="B50" s="76" t="s">
        <v>192</v>
      </c>
      <c r="C50" s="73">
        <f>17500-5000</f>
        <v>12500</v>
      </c>
      <c r="D50" s="73">
        <v>17500</v>
      </c>
      <c r="E50" s="73"/>
      <c r="F50" s="73"/>
      <c r="G50" s="73"/>
      <c r="H50" s="30"/>
      <c r="I50" s="73"/>
    </row>
    <row r="51" spans="1:9">
      <c r="A51" s="20"/>
      <c r="B51" s="46" t="s">
        <v>72</v>
      </c>
      <c r="C51" s="16">
        <f t="shared" ref="C51:I51" si="1">C16+C17+C18+C19+C20+C21+C22+C23+C24+C25+C26+C27+C28+C29+C30+C31+C32+C33+C34+C35+C36+C37+C38+C39+C40+C41+C42+C43+C44+C45+C46+C47+C48+C49</f>
        <v>31961400</v>
      </c>
      <c r="D51" s="16">
        <f t="shared" si="1"/>
        <v>17165100</v>
      </c>
      <c r="E51" s="16">
        <f t="shared" si="1"/>
        <v>7614100</v>
      </c>
      <c r="F51" s="16">
        <f t="shared" si="1"/>
        <v>3002500</v>
      </c>
      <c r="G51" s="16">
        <f t="shared" si="1"/>
        <v>2149900</v>
      </c>
      <c r="H51" s="16">
        <f t="shared" si="1"/>
        <v>1609400</v>
      </c>
      <c r="I51" s="16">
        <f t="shared" si="1"/>
        <v>420400</v>
      </c>
    </row>
    <row r="52" spans="1:9">
      <c r="A52" s="88"/>
      <c r="B52" s="88"/>
      <c r="C52" s="88"/>
      <c r="D52" s="88"/>
      <c r="E52" s="88"/>
      <c r="F52" s="88"/>
      <c r="G52" s="88"/>
      <c r="H52" s="88"/>
      <c r="I52" s="88"/>
    </row>
    <row r="53" spans="1:9">
      <c r="A53" s="90" t="s">
        <v>18</v>
      </c>
      <c r="B53" s="90"/>
      <c r="C53" s="90"/>
      <c r="D53" s="90"/>
      <c r="E53" s="90"/>
      <c r="F53" s="90"/>
      <c r="G53" s="90"/>
      <c r="H53" s="90"/>
      <c r="I53" s="90"/>
    </row>
    <row r="54" spans="1:9">
      <c r="A54" s="31"/>
      <c r="B54" s="31"/>
      <c r="C54" s="31"/>
      <c r="D54" s="31"/>
      <c r="E54" s="31"/>
      <c r="F54" s="31"/>
      <c r="G54" s="31"/>
      <c r="H54" s="31"/>
      <c r="I54" s="31"/>
    </row>
    <row r="55" spans="1:9">
      <c r="A55" s="31"/>
      <c r="B55" s="31"/>
      <c r="C55" s="31"/>
      <c r="D55" s="31"/>
      <c r="E55" s="31"/>
      <c r="F55" s="31"/>
      <c r="G55" s="31"/>
      <c r="H55" s="31"/>
      <c r="I55" s="31"/>
    </row>
    <row r="56" spans="1:9">
      <c r="A56" s="31"/>
      <c r="B56" s="31"/>
      <c r="C56" s="31"/>
      <c r="D56" s="31"/>
      <c r="E56" s="31"/>
      <c r="F56" s="31"/>
      <c r="G56" s="31"/>
      <c r="H56" s="31"/>
      <c r="I56" s="31"/>
    </row>
    <row r="57" spans="1:9">
      <c r="A57" s="31"/>
      <c r="B57" s="31"/>
      <c r="C57" s="31"/>
      <c r="D57" s="31"/>
      <c r="E57" s="31"/>
      <c r="F57" s="31"/>
      <c r="G57" s="31"/>
      <c r="H57" s="31"/>
      <c r="I57" s="31"/>
    </row>
    <row r="58" spans="1:9">
      <c r="A58" s="31"/>
      <c r="B58" s="31"/>
      <c r="C58" s="31"/>
      <c r="D58" s="31"/>
      <c r="E58" s="31"/>
      <c r="F58" s="31"/>
      <c r="G58" s="31"/>
      <c r="H58" s="31"/>
      <c r="I58" s="31"/>
    </row>
    <row r="59" spans="1:9">
      <c r="A59" s="31"/>
      <c r="B59" s="31"/>
      <c r="C59" s="31"/>
      <c r="D59" s="31"/>
      <c r="E59" s="31"/>
      <c r="F59" s="31"/>
      <c r="G59" s="31"/>
      <c r="H59" s="31"/>
      <c r="I59" s="31"/>
    </row>
    <row r="60" spans="1:9">
      <c r="A60" s="31"/>
      <c r="B60" s="31"/>
      <c r="C60" s="31"/>
      <c r="D60" s="31"/>
      <c r="E60" s="31"/>
      <c r="F60" s="31"/>
      <c r="G60" s="31"/>
      <c r="H60" s="31"/>
      <c r="I60" s="31"/>
    </row>
    <row r="61" spans="1:9">
      <c r="A61" s="31"/>
      <c r="B61" s="31"/>
      <c r="C61" s="31"/>
      <c r="D61" s="31"/>
      <c r="E61" s="31"/>
      <c r="F61" s="31"/>
      <c r="G61" s="31"/>
      <c r="H61" s="31"/>
      <c r="I61" s="31"/>
    </row>
    <row r="62" spans="1:9">
      <c r="A62" s="31"/>
      <c r="B62" s="31"/>
      <c r="C62" s="31"/>
      <c r="D62" s="31"/>
      <c r="E62" s="31"/>
      <c r="F62" s="31"/>
      <c r="G62" s="31"/>
      <c r="H62" s="31"/>
      <c r="I62" s="31"/>
    </row>
    <row r="63" spans="1:9">
      <c r="A63" s="31"/>
      <c r="B63" s="31"/>
      <c r="C63" s="31"/>
      <c r="D63" s="31"/>
      <c r="E63" s="31"/>
      <c r="F63" s="31"/>
      <c r="G63" s="31"/>
      <c r="H63" s="31"/>
      <c r="I63" s="31"/>
    </row>
    <row r="64" spans="1:9">
      <c r="A64" s="31"/>
      <c r="B64" s="31"/>
      <c r="C64" s="31"/>
      <c r="D64" s="31"/>
      <c r="E64" s="31"/>
      <c r="F64" s="31"/>
      <c r="G64" s="31"/>
      <c r="H64" s="31"/>
      <c r="I64" s="31"/>
    </row>
    <row r="65" spans="1:9">
      <c r="A65" s="31"/>
      <c r="B65" s="31"/>
      <c r="C65" s="31"/>
      <c r="D65" s="31"/>
      <c r="E65" s="31"/>
      <c r="F65" s="31"/>
      <c r="G65" s="31"/>
      <c r="H65" s="31"/>
      <c r="I65" s="31"/>
    </row>
    <row r="66" spans="1:9">
      <c r="A66" s="31"/>
      <c r="B66" s="31"/>
      <c r="C66" s="31"/>
      <c r="D66" s="31"/>
      <c r="E66" s="31"/>
      <c r="F66" s="31"/>
      <c r="G66" s="31"/>
      <c r="H66" s="31"/>
      <c r="I66" s="31"/>
    </row>
    <row r="67" spans="1:9">
      <c r="A67" s="31"/>
      <c r="B67" s="31"/>
      <c r="C67" s="31"/>
      <c r="D67" s="31"/>
      <c r="E67" s="31"/>
      <c r="F67" s="31"/>
      <c r="G67" s="31"/>
      <c r="H67" s="31"/>
      <c r="I67" s="31"/>
    </row>
    <row r="68" spans="1:9">
      <c r="A68" s="31"/>
      <c r="B68" s="31"/>
      <c r="C68" s="31"/>
      <c r="D68" s="31"/>
      <c r="E68" s="31"/>
      <c r="F68" s="31"/>
      <c r="G68" s="31"/>
      <c r="H68" s="31"/>
      <c r="I68" s="31"/>
    </row>
    <row r="69" spans="1:9">
      <c r="A69" s="31"/>
      <c r="B69" s="31"/>
      <c r="C69" s="31"/>
      <c r="D69" s="31"/>
      <c r="E69" s="31"/>
      <c r="F69" s="31"/>
      <c r="G69" s="31"/>
      <c r="H69" s="31"/>
      <c r="I69" s="31"/>
    </row>
    <row r="70" spans="1:9">
      <c r="A70" s="31"/>
      <c r="B70" s="31"/>
      <c r="C70" s="31"/>
      <c r="D70" s="31"/>
      <c r="E70" s="31"/>
      <c r="F70" s="31"/>
      <c r="G70" s="31"/>
      <c r="H70" s="31"/>
      <c r="I70" s="31"/>
    </row>
    <row r="71" spans="1:9">
      <c r="A71" s="31"/>
      <c r="B71" s="31"/>
      <c r="C71" s="31"/>
      <c r="D71" s="31"/>
      <c r="E71" s="31"/>
      <c r="F71" s="31"/>
      <c r="G71" s="31"/>
      <c r="H71" s="31"/>
      <c r="I71" s="31"/>
    </row>
    <row r="72" spans="1:9">
      <c r="A72" s="31"/>
      <c r="B72" s="31"/>
      <c r="C72" s="31"/>
      <c r="D72" s="31"/>
      <c r="E72" s="31"/>
      <c r="F72" s="31"/>
      <c r="G72" s="31"/>
      <c r="H72" s="31"/>
      <c r="I72" s="31"/>
    </row>
    <row r="73" spans="1:9">
      <c r="A73" s="31"/>
      <c r="B73" s="31"/>
      <c r="C73" s="31"/>
      <c r="D73" s="31"/>
      <c r="E73" s="31"/>
      <c r="F73" s="31"/>
      <c r="G73" s="31"/>
      <c r="H73" s="31"/>
      <c r="I73" s="31"/>
    </row>
    <row r="74" spans="1:9">
      <c r="A74" s="31"/>
      <c r="B74" s="31"/>
      <c r="C74" s="31"/>
      <c r="D74" s="31"/>
      <c r="E74" s="31"/>
      <c r="F74" s="31"/>
      <c r="G74" s="31"/>
      <c r="H74" s="31"/>
      <c r="I74" s="31"/>
    </row>
    <row r="75" spans="1:9">
      <c r="A75" s="31"/>
      <c r="B75" s="31"/>
      <c r="C75" s="31"/>
      <c r="D75" s="31"/>
      <c r="E75" s="31"/>
      <c r="F75" s="31"/>
      <c r="G75" s="31"/>
      <c r="H75" s="31"/>
      <c r="I75" s="31"/>
    </row>
    <row r="76" spans="1:9">
      <c r="A76" s="31"/>
      <c r="B76" s="31"/>
      <c r="C76" s="31"/>
      <c r="D76" s="31"/>
      <c r="E76" s="31"/>
      <c r="F76" s="31"/>
      <c r="G76" s="31"/>
      <c r="H76" s="31"/>
      <c r="I76" s="31"/>
    </row>
    <row r="77" spans="1:9">
      <c r="A77" s="31"/>
      <c r="B77" s="31"/>
      <c r="C77" s="31"/>
      <c r="D77" s="31"/>
      <c r="E77" s="31"/>
      <c r="F77" s="31"/>
      <c r="G77" s="31"/>
      <c r="H77" s="31"/>
      <c r="I77" s="31"/>
    </row>
    <row r="78" spans="1:9">
      <c r="A78" s="31"/>
      <c r="B78" s="31"/>
      <c r="C78" s="31"/>
      <c r="D78" s="31"/>
      <c r="E78" s="31"/>
      <c r="F78" s="31"/>
      <c r="G78" s="31"/>
      <c r="H78" s="31"/>
      <c r="I78" s="31"/>
    </row>
    <row r="79" spans="1:9">
      <c r="A79" s="31"/>
      <c r="B79" s="31"/>
      <c r="C79" s="31"/>
      <c r="D79" s="31"/>
      <c r="E79" s="31"/>
      <c r="F79" s="31"/>
      <c r="G79" s="31"/>
      <c r="H79" s="31"/>
      <c r="I79" s="31"/>
    </row>
    <row r="80" spans="1:9">
      <c r="A80" s="31"/>
      <c r="B80" s="31"/>
      <c r="C80" s="31"/>
      <c r="D80" s="31"/>
      <c r="E80" s="31"/>
      <c r="F80" s="31"/>
      <c r="G80" s="31"/>
      <c r="H80" s="31"/>
      <c r="I80" s="31"/>
    </row>
    <row r="81" spans="1:9">
      <c r="A81" s="31"/>
      <c r="B81" s="31"/>
      <c r="C81" s="31"/>
      <c r="D81" s="31"/>
      <c r="E81" s="31"/>
      <c r="F81" s="31"/>
      <c r="G81" s="31"/>
      <c r="H81" s="31"/>
      <c r="I81" s="31"/>
    </row>
    <row r="82" spans="1:9">
      <c r="A82" s="31"/>
      <c r="B82" s="31"/>
      <c r="C82" s="31"/>
      <c r="D82" s="31"/>
      <c r="E82" s="31"/>
      <c r="F82" s="31"/>
      <c r="G82" s="31"/>
      <c r="H82" s="31"/>
      <c r="I82" s="31"/>
    </row>
    <row r="83" spans="1:9">
      <c r="A83" s="31"/>
      <c r="B83" s="31"/>
      <c r="C83" s="31"/>
      <c r="D83" s="31"/>
      <c r="E83" s="31"/>
      <c r="F83" s="31"/>
      <c r="G83" s="31"/>
      <c r="H83" s="31"/>
      <c r="I83" s="31"/>
    </row>
    <row r="84" spans="1:9">
      <c r="A84" s="31"/>
      <c r="B84" s="31"/>
      <c r="C84" s="31"/>
      <c r="D84" s="31"/>
      <c r="E84" s="31"/>
      <c r="F84" s="31"/>
      <c r="G84" s="31"/>
      <c r="H84" s="31"/>
      <c r="I84" s="31"/>
    </row>
    <row r="85" spans="1:9">
      <c r="A85" s="31"/>
      <c r="B85" s="31"/>
      <c r="C85" s="31"/>
      <c r="D85" s="31"/>
      <c r="E85" s="31"/>
      <c r="F85" s="31"/>
      <c r="G85" s="31"/>
      <c r="H85" s="31"/>
      <c r="I85" s="31"/>
    </row>
    <row r="86" spans="1:9">
      <c r="A86" s="31"/>
      <c r="B86" s="31"/>
      <c r="C86" s="31"/>
      <c r="D86" s="31"/>
      <c r="E86" s="31"/>
      <c r="F86" s="31"/>
      <c r="G86" s="31"/>
      <c r="H86" s="31"/>
      <c r="I86" s="31"/>
    </row>
    <row r="87" spans="1:9">
      <c r="A87" s="31"/>
      <c r="B87" s="31"/>
      <c r="C87" s="31"/>
      <c r="D87" s="31"/>
      <c r="E87" s="31"/>
      <c r="F87" s="31"/>
      <c r="G87" s="31"/>
      <c r="H87" s="31"/>
      <c r="I87" s="31"/>
    </row>
    <row r="88" spans="1:9">
      <c r="A88" s="31"/>
      <c r="B88" s="31"/>
      <c r="C88" s="31"/>
      <c r="D88" s="31"/>
      <c r="E88" s="31"/>
      <c r="F88" s="31"/>
      <c r="G88" s="31"/>
      <c r="H88" s="31"/>
      <c r="I88" s="31"/>
    </row>
    <row r="89" spans="1:9">
      <c r="A89" s="31"/>
      <c r="B89" s="31"/>
      <c r="C89" s="31"/>
      <c r="D89" s="31"/>
      <c r="E89" s="31"/>
      <c r="F89" s="31"/>
      <c r="G89" s="31"/>
      <c r="H89" s="31"/>
      <c r="I89" s="31"/>
    </row>
    <row r="90" spans="1:9">
      <c r="A90" s="31"/>
      <c r="B90" s="31"/>
      <c r="C90" s="31"/>
      <c r="D90" s="31"/>
      <c r="E90" s="31"/>
      <c r="F90" s="31"/>
      <c r="G90" s="31"/>
      <c r="H90" s="31"/>
      <c r="I90" s="31"/>
    </row>
    <row r="91" spans="1:9">
      <c r="A91" s="31"/>
      <c r="B91" s="31"/>
      <c r="C91" s="31"/>
      <c r="D91" s="31"/>
      <c r="E91" s="31"/>
      <c r="F91" s="31"/>
      <c r="G91" s="31"/>
      <c r="H91" s="31"/>
      <c r="I91" s="31"/>
    </row>
    <row r="92" spans="1:9">
      <c r="A92" s="31"/>
      <c r="B92" s="31"/>
      <c r="C92" s="31"/>
      <c r="D92" s="31"/>
      <c r="E92" s="31"/>
      <c r="F92" s="31"/>
      <c r="G92" s="31"/>
      <c r="H92" s="31"/>
      <c r="I92" s="31"/>
    </row>
    <row r="93" spans="1:9">
      <c r="A93" s="31"/>
      <c r="B93" s="31"/>
      <c r="C93" s="31"/>
      <c r="D93" s="31"/>
      <c r="E93" s="31"/>
      <c r="F93" s="31"/>
      <c r="G93" s="31"/>
      <c r="H93" s="31"/>
      <c r="I93" s="31"/>
    </row>
    <row r="94" spans="1:9">
      <c r="A94" s="31"/>
      <c r="B94" s="31"/>
      <c r="C94" s="31"/>
      <c r="D94" s="31"/>
      <c r="E94" s="31"/>
      <c r="F94" s="31"/>
      <c r="G94" s="31"/>
      <c r="H94" s="31"/>
      <c r="I94" s="31"/>
    </row>
    <row r="95" spans="1:9">
      <c r="A95" s="31"/>
      <c r="B95" s="31"/>
      <c r="C95" s="31"/>
      <c r="D95" s="31"/>
      <c r="E95" s="31"/>
      <c r="F95" s="31"/>
      <c r="G95" s="31"/>
      <c r="H95" s="31"/>
      <c r="I95" s="31"/>
    </row>
    <row r="96" spans="1:9">
      <c r="A96" s="31"/>
      <c r="B96" s="31"/>
      <c r="C96" s="31"/>
      <c r="D96" s="31"/>
      <c r="E96" s="31"/>
      <c r="F96" s="31"/>
      <c r="G96" s="31"/>
      <c r="H96" s="31"/>
      <c r="I96" s="31"/>
    </row>
    <row r="97" spans="1:9">
      <c r="A97" s="31"/>
      <c r="B97" s="31"/>
      <c r="C97" s="31"/>
      <c r="D97" s="31"/>
      <c r="E97" s="31"/>
      <c r="F97" s="31"/>
      <c r="G97" s="31"/>
      <c r="H97" s="31"/>
      <c r="I97" s="31"/>
    </row>
    <row r="98" spans="1:9">
      <c r="A98" s="31"/>
      <c r="B98" s="31"/>
      <c r="C98" s="31"/>
      <c r="D98" s="31"/>
      <c r="E98" s="31"/>
      <c r="F98" s="31"/>
      <c r="G98" s="31"/>
      <c r="H98" s="31"/>
      <c r="I98" s="31"/>
    </row>
    <row r="99" spans="1:9">
      <c r="A99" s="31"/>
      <c r="B99" s="31"/>
      <c r="C99" s="31"/>
      <c r="D99" s="31"/>
      <c r="E99" s="31"/>
      <c r="F99" s="31"/>
      <c r="G99" s="31"/>
      <c r="H99" s="31"/>
      <c r="I99" s="31"/>
    </row>
    <row r="100" spans="1:9">
      <c r="A100" s="31"/>
      <c r="B100" s="31"/>
      <c r="C100" s="31"/>
      <c r="D100" s="31"/>
      <c r="E100" s="31"/>
      <c r="F100" s="31"/>
      <c r="G100" s="31"/>
      <c r="H100" s="31"/>
      <c r="I100" s="31"/>
    </row>
    <row r="101" spans="1:9">
      <c r="A101" s="31"/>
      <c r="B101" s="31"/>
      <c r="C101" s="31"/>
      <c r="D101" s="31"/>
      <c r="E101" s="31"/>
      <c r="F101" s="31"/>
      <c r="G101" s="31"/>
      <c r="H101" s="31"/>
      <c r="I101" s="31"/>
    </row>
    <row r="102" spans="1:9">
      <c r="A102" s="31"/>
      <c r="B102" s="31"/>
      <c r="C102" s="31"/>
      <c r="D102" s="31"/>
      <c r="E102" s="31"/>
      <c r="F102" s="31"/>
      <c r="G102" s="31"/>
      <c r="H102" s="31"/>
      <c r="I102" s="31"/>
    </row>
    <row r="103" spans="1:9">
      <c r="A103" s="31"/>
      <c r="B103" s="31"/>
      <c r="C103" s="31"/>
      <c r="D103" s="31"/>
      <c r="E103" s="31"/>
      <c r="F103" s="31"/>
      <c r="G103" s="31"/>
      <c r="H103" s="31"/>
      <c r="I103" s="31"/>
    </row>
    <row r="104" spans="1:9">
      <c r="A104" s="31"/>
      <c r="B104" s="31"/>
      <c r="C104" s="31"/>
      <c r="D104" s="31"/>
      <c r="E104" s="31"/>
      <c r="F104" s="31"/>
      <c r="G104" s="31"/>
      <c r="H104" s="31"/>
      <c r="I104" s="31"/>
    </row>
    <row r="105" spans="1:9">
      <c r="A105" s="31"/>
      <c r="B105" s="31"/>
      <c r="C105" s="31"/>
      <c r="D105" s="31"/>
      <c r="E105" s="31"/>
      <c r="F105" s="31"/>
      <c r="G105" s="31"/>
      <c r="H105" s="31"/>
      <c r="I105" s="31"/>
    </row>
    <row r="106" spans="1:9">
      <c r="A106" s="31"/>
      <c r="B106" s="31"/>
      <c r="C106" s="31"/>
      <c r="D106" s="31"/>
      <c r="E106" s="31"/>
      <c r="F106" s="31"/>
      <c r="G106" s="31"/>
      <c r="H106" s="31"/>
      <c r="I106" s="31"/>
    </row>
    <row r="107" spans="1:9">
      <c r="A107" s="31"/>
      <c r="B107" s="31"/>
      <c r="C107" s="31"/>
      <c r="D107" s="31"/>
      <c r="E107" s="31"/>
      <c r="F107" s="31"/>
      <c r="G107" s="31"/>
      <c r="H107" s="31"/>
      <c r="I107" s="31"/>
    </row>
    <row r="108" spans="1:9">
      <c r="A108" s="31"/>
      <c r="B108" s="31"/>
      <c r="C108" s="31"/>
      <c r="D108" s="31"/>
      <c r="E108" s="31"/>
      <c r="F108" s="31"/>
      <c r="G108" s="31"/>
      <c r="H108" s="31"/>
      <c r="I108" s="31"/>
    </row>
    <row r="109" spans="1:9">
      <c r="A109" s="31"/>
      <c r="B109" s="31"/>
      <c r="C109" s="31"/>
      <c r="D109" s="31"/>
      <c r="E109" s="31"/>
      <c r="F109" s="31"/>
      <c r="G109" s="31"/>
      <c r="H109" s="31"/>
      <c r="I109" s="31"/>
    </row>
    <row r="110" spans="1:9">
      <c r="A110" s="31"/>
      <c r="B110" s="31"/>
      <c r="C110" s="31"/>
      <c r="D110" s="31"/>
      <c r="E110" s="31"/>
      <c r="F110" s="31"/>
      <c r="G110" s="31"/>
      <c r="H110" s="31"/>
      <c r="I110" s="31"/>
    </row>
    <row r="111" spans="1:9">
      <c r="A111" s="31"/>
      <c r="B111" s="31"/>
      <c r="C111" s="31"/>
      <c r="D111" s="31"/>
      <c r="E111" s="31"/>
      <c r="F111" s="31"/>
      <c r="G111" s="31"/>
      <c r="H111" s="31"/>
      <c r="I111" s="31"/>
    </row>
    <row r="112" spans="1:9">
      <c r="A112" s="31"/>
      <c r="B112" s="31"/>
      <c r="C112" s="31"/>
      <c r="D112" s="31"/>
      <c r="E112" s="31"/>
      <c r="F112" s="31"/>
      <c r="G112" s="31"/>
      <c r="H112" s="31"/>
      <c r="I112" s="31"/>
    </row>
    <row r="113" spans="1:9">
      <c r="A113" s="31"/>
      <c r="B113" s="31"/>
      <c r="C113" s="31"/>
      <c r="D113" s="31"/>
      <c r="E113" s="31"/>
      <c r="F113" s="31"/>
      <c r="G113" s="31"/>
      <c r="H113" s="31"/>
      <c r="I113" s="31"/>
    </row>
    <row r="114" spans="1:9">
      <c r="A114" s="31"/>
      <c r="B114" s="31"/>
      <c r="C114" s="31"/>
      <c r="D114" s="31"/>
      <c r="E114" s="31"/>
      <c r="F114" s="31"/>
      <c r="G114" s="31"/>
      <c r="H114" s="31"/>
      <c r="I114" s="31"/>
    </row>
    <row r="115" spans="1:9">
      <c r="A115" s="31"/>
      <c r="B115" s="31"/>
      <c r="C115" s="31"/>
      <c r="D115" s="31"/>
      <c r="E115" s="31"/>
      <c r="F115" s="31"/>
      <c r="G115" s="31"/>
      <c r="H115" s="31"/>
      <c r="I115" s="31"/>
    </row>
    <row r="116" spans="1:9">
      <c r="A116" s="31"/>
      <c r="B116" s="31"/>
      <c r="C116" s="31"/>
      <c r="D116" s="31"/>
      <c r="E116" s="31"/>
      <c r="F116" s="31"/>
      <c r="G116" s="31"/>
      <c r="H116" s="31"/>
      <c r="I116" s="31"/>
    </row>
    <row r="117" spans="1:9">
      <c r="A117" s="31"/>
      <c r="B117" s="31"/>
      <c r="C117" s="31"/>
      <c r="D117" s="31"/>
      <c r="E117" s="31"/>
      <c r="F117" s="31"/>
      <c r="G117" s="31"/>
      <c r="H117" s="31"/>
      <c r="I117" s="31"/>
    </row>
    <row r="118" spans="1:9">
      <c r="A118" s="31"/>
      <c r="B118" s="31"/>
      <c r="C118" s="31"/>
      <c r="D118" s="31"/>
      <c r="E118" s="31"/>
      <c r="F118" s="31"/>
      <c r="G118" s="31"/>
      <c r="H118" s="31"/>
      <c r="I118" s="31"/>
    </row>
    <row r="119" spans="1:9">
      <c r="A119" s="31"/>
      <c r="B119" s="31"/>
      <c r="C119" s="31"/>
      <c r="D119" s="31"/>
      <c r="E119" s="31"/>
      <c r="F119" s="31"/>
      <c r="G119" s="31"/>
      <c r="H119" s="31"/>
      <c r="I119" s="31"/>
    </row>
    <row r="120" spans="1:9">
      <c r="A120" s="31"/>
      <c r="B120" s="31"/>
      <c r="C120" s="31"/>
      <c r="D120" s="31"/>
      <c r="E120" s="31"/>
      <c r="F120" s="31"/>
      <c r="G120" s="31"/>
      <c r="H120" s="31"/>
      <c r="I120" s="31"/>
    </row>
    <row r="121" spans="1:9">
      <c r="A121" s="31"/>
      <c r="B121" s="31"/>
      <c r="C121" s="31"/>
      <c r="D121" s="31"/>
      <c r="E121" s="31"/>
      <c r="F121" s="31"/>
      <c r="G121" s="31"/>
      <c r="H121" s="31"/>
      <c r="I121" s="31"/>
    </row>
    <row r="122" spans="1:9">
      <c r="A122" s="31"/>
      <c r="B122" s="31"/>
      <c r="C122" s="31"/>
      <c r="D122" s="31"/>
      <c r="E122" s="31"/>
      <c r="F122" s="31"/>
      <c r="G122" s="31"/>
      <c r="H122" s="31"/>
      <c r="I122" s="31"/>
    </row>
    <row r="123" spans="1:9">
      <c r="A123" s="31"/>
      <c r="B123" s="31"/>
      <c r="C123" s="31"/>
      <c r="D123" s="31"/>
      <c r="E123" s="31"/>
      <c r="F123" s="31"/>
      <c r="G123" s="31"/>
      <c r="H123" s="31"/>
      <c r="I123" s="31"/>
    </row>
    <row r="124" spans="1:9">
      <c r="A124" s="31"/>
      <c r="B124" s="31"/>
      <c r="C124" s="31"/>
      <c r="D124" s="31"/>
      <c r="E124" s="31"/>
      <c r="F124" s="31"/>
      <c r="G124" s="31"/>
      <c r="H124" s="31"/>
      <c r="I124" s="31"/>
    </row>
    <row r="125" spans="1:9">
      <c r="A125" s="31"/>
      <c r="B125" s="31"/>
      <c r="C125" s="31"/>
      <c r="D125" s="31"/>
      <c r="E125" s="31"/>
      <c r="F125" s="31"/>
      <c r="G125" s="31"/>
      <c r="H125" s="31"/>
      <c r="I125" s="31"/>
    </row>
    <row r="126" spans="1:9">
      <c r="A126" s="31"/>
      <c r="B126" s="31"/>
      <c r="C126" s="31"/>
      <c r="D126" s="31"/>
      <c r="E126" s="31"/>
      <c r="F126" s="31"/>
      <c r="G126" s="31"/>
      <c r="H126" s="31"/>
      <c r="I126" s="31"/>
    </row>
    <row r="127" spans="1:9">
      <c r="A127" s="31"/>
      <c r="B127" s="31"/>
      <c r="C127" s="31"/>
      <c r="D127" s="31"/>
      <c r="E127" s="31"/>
      <c r="F127" s="31"/>
      <c r="G127" s="31"/>
      <c r="H127" s="31"/>
      <c r="I127" s="31"/>
    </row>
    <row r="128" spans="1:9">
      <c r="A128" s="31"/>
      <c r="B128" s="31"/>
      <c r="C128" s="31"/>
      <c r="D128" s="31"/>
      <c r="E128" s="31"/>
      <c r="F128" s="31"/>
      <c r="G128" s="31"/>
      <c r="H128" s="31"/>
      <c r="I128" s="31"/>
    </row>
    <row r="129" spans="1:9">
      <c r="A129" s="31"/>
      <c r="B129" s="31"/>
      <c r="C129" s="31"/>
      <c r="D129" s="31"/>
      <c r="E129" s="31"/>
      <c r="F129" s="31"/>
      <c r="G129" s="31"/>
      <c r="H129" s="31"/>
      <c r="I129" s="31"/>
    </row>
    <row r="130" spans="1:9">
      <c r="A130" s="31"/>
      <c r="B130" s="31"/>
      <c r="C130" s="31"/>
      <c r="D130" s="31"/>
      <c r="E130" s="31"/>
      <c r="F130" s="31"/>
      <c r="G130" s="31"/>
      <c r="H130" s="31"/>
      <c r="I130" s="31"/>
    </row>
    <row r="131" spans="1:9">
      <c r="A131" s="31"/>
      <c r="B131" s="31"/>
      <c r="C131" s="31"/>
      <c r="D131" s="31"/>
      <c r="E131" s="31"/>
      <c r="F131" s="31"/>
      <c r="G131" s="31"/>
      <c r="H131" s="31"/>
      <c r="I131" s="31"/>
    </row>
    <row r="132" spans="1:9">
      <c r="A132" s="31"/>
      <c r="B132" s="31"/>
      <c r="C132" s="31"/>
      <c r="D132" s="31"/>
      <c r="E132" s="31"/>
      <c r="F132" s="31"/>
      <c r="G132" s="31"/>
      <c r="H132" s="31"/>
      <c r="I132" s="31"/>
    </row>
    <row r="133" spans="1:9">
      <c r="A133" s="31"/>
      <c r="B133" s="31"/>
      <c r="C133" s="31"/>
      <c r="D133" s="31"/>
      <c r="E133" s="31"/>
      <c r="F133" s="31"/>
      <c r="G133" s="31"/>
      <c r="H133" s="31"/>
      <c r="I133" s="31"/>
    </row>
  </sheetData>
  <mergeCells count="15">
    <mergeCell ref="C11:I11"/>
    <mergeCell ref="A52:I52"/>
    <mergeCell ref="A53:I53"/>
    <mergeCell ref="A9:I9"/>
    <mergeCell ref="F7:H7"/>
    <mergeCell ref="F1:H1"/>
    <mergeCell ref="F2:H2"/>
    <mergeCell ref="F3:H3"/>
    <mergeCell ref="F4:H4"/>
    <mergeCell ref="A12:A14"/>
    <mergeCell ref="B12:B14"/>
    <mergeCell ref="C12:I12"/>
    <mergeCell ref="A10:I10"/>
    <mergeCell ref="C13:C14"/>
    <mergeCell ref="D13:I13"/>
  </mergeCells>
  <pageMargins left="0.78740157480314965" right="0.39370078740157483" top="0.39370078740157483" bottom="0.39370078740157483" header="0" footer="0"/>
  <pageSetup paperSize="9" scale="8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I58"/>
  <sheetViews>
    <sheetView tabSelected="1" zoomScale="135" zoomScaleNormal="135" workbookViewId="0">
      <selection activeCell="G62" sqref="G62"/>
    </sheetView>
  </sheetViews>
  <sheetFormatPr defaultRowHeight="12.75"/>
  <cols>
    <col min="1" max="1" width="4" customWidth="1"/>
    <col min="2" max="2" width="10.140625" customWidth="1"/>
    <col min="3" max="3" width="35.28515625" customWidth="1"/>
    <col min="4" max="5" width="10.140625" customWidth="1"/>
    <col min="6" max="6" width="11.28515625" customWidth="1"/>
    <col min="7" max="7" width="10.7109375" customWidth="1"/>
  </cols>
  <sheetData>
    <row r="1" spans="1:8" ht="14.1" customHeight="1">
      <c r="A1" s="3"/>
      <c r="B1" s="3"/>
      <c r="C1" s="3"/>
      <c r="D1" s="19"/>
      <c r="E1" s="86" t="s">
        <v>5</v>
      </c>
      <c r="F1" s="86"/>
      <c r="G1" s="86"/>
    </row>
    <row r="2" spans="1:8" ht="14.1" customHeight="1">
      <c r="A2" s="3"/>
      <c r="B2" s="3"/>
      <c r="C2" s="3"/>
      <c r="D2" s="19"/>
      <c r="E2" s="86" t="s">
        <v>166</v>
      </c>
      <c r="F2" s="86"/>
      <c r="G2" s="86"/>
    </row>
    <row r="3" spans="1:8" ht="14.1" customHeight="1">
      <c r="A3" s="1"/>
      <c r="B3" s="2"/>
      <c r="C3" s="3"/>
      <c r="D3" s="19"/>
      <c r="E3" s="86" t="s">
        <v>194</v>
      </c>
      <c r="F3" s="86"/>
      <c r="G3" s="86"/>
    </row>
    <row r="4" spans="1:8" ht="14.1" customHeight="1">
      <c r="A4" s="1"/>
      <c r="B4" s="2"/>
      <c r="C4" s="8"/>
      <c r="D4" s="8"/>
      <c r="E4" s="87" t="s">
        <v>152</v>
      </c>
      <c r="F4" s="87"/>
      <c r="G4" s="87"/>
    </row>
    <row r="5" spans="1:8" ht="14.1" customHeight="1">
      <c r="A5" s="1"/>
      <c r="B5" s="2"/>
      <c r="C5" s="8"/>
      <c r="D5" s="8"/>
      <c r="E5" s="50" t="s">
        <v>193</v>
      </c>
      <c r="F5" s="50"/>
      <c r="G5" s="50"/>
    </row>
    <row r="6" spans="1:8" ht="14.1" customHeight="1">
      <c r="A6" s="1"/>
      <c r="B6" s="2"/>
      <c r="C6" s="8"/>
      <c r="D6" s="8"/>
      <c r="E6" s="8" t="s">
        <v>195</v>
      </c>
      <c r="F6" s="50"/>
      <c r="G6" s="50"/>
    </row>
    <row r="7" spans="1:8" ht="14.1" customHeight="1">
      <c r="A7" s="1"/>
      <c r="B7" s="2"/>
      <c r="C7" s="8"/>
      <c r="D7" s="8"/>
      <c r="E7" s="87" t="s">
        <v>198</v>
      </c>
      <c r="F7" s="87"/>
      <c r="G7" s="87"/>
    </row>
    <row r="8" spans="1:8" ht="12.75" customHeight="1">
      <c r="A8" s="1"/>
      <c r="B8" s="2"/>
      <c r="C8" s="3"/>
      <c r="D8" s="8"/>
      <c r="E8" s="8"/>
      <c r="F8" s="8"/>
      <c r="G8" s="8"/>
    </row>
    <row r="9" spans="1:8" ht="24.6" customHeight="1">
      <c r="A9" s="89" t="s">
        <v>172</v>
      </c>
      <c r="B9" s="89"/>
      <c r="C9" s="89"/>
      <c r="D9" s="89"/>
      <c r="E9" s="89"/>
      <c r="F9" s="89"/>
      <c r="G9" s="89"/>
      <c r="H9" s="23"/>
    </row>
    <row r="10" spans="1:8" ht="15" customHeight="1">
      <c r="A10" s="1"/>
      <c r="B10" s="2"/>
      <c r="C10" s="3"/>
      <c r="D10" s="119"/>
      <c r="E10" s="119"/>
      <c r="F10" s="91" t="s">
        <v>144</v>
      </c>
      <c r="G10" s="91"/>
      <c r="H10" s="18"/>
    </row>
    <row r="11" spans="1:8" ht="12.75" customHeight="1">
      <c r="A11" s="92" t="s">
        <v>0</v>
      </c>
      <c r="B11" s="110" t="s">
        <v>1</v>
      </c>
      <c r="C11" s="92" t="s">
        <v>61</v>
      </c>
      <c r="D11" s="95" t="s">
        <v>70</v>
      </c>
      <c r="E11" s="96"/>
      <c r="F11" s="96"/>
      <c r="G11" s="97"/>
    </row>
    <row r="12" spans="1:8" ht="12.75" customHeight="1">
      <c r="A12" s="93"/>
      <c r="B12" s="111"/>
      <c r="C12" s="93"/>
      <c r="D12" s="92" t="s">
        <v>2</v>
      </c>
      <c r="E12" s="99" t="s">
        <v>3</v>
      </c>
      <c r="F12" s="99"/>
      <c r="G12" s="100"/>
    </row>
    <row r="13" spans="1:8" ht="12.75" customHeight="1">
      <c r="A13" s="93"/>
      <c r="B13" s="111"/>
      <c r="C13" s="93"/>
      <c r="D13" s="93"/>
      <c r="E13" s="101" t="s">
        <v>68</v>
      </c>
      <c r="F13" s="101"/>
      <c r="G13" s="92" t="s">
        <v>19</v>
      </c>
    </row>
    <row r="14" spans="1:8" ht="24.75" customHeight="1">
      <c r="A14" s="98"/>
      <c r="B14" s="112"/>
      <c r="C14" s="98"/>
      <c r="D14" s="98"/>
      <c r="E14" s="33" t="s">
        <v>69</v>
      </c>
      <c r="F14" s="35" t="s">
        <v>6</v>
      </c>
      <c r="G14" s="98"/>
    </row>
    <row r="15" spans="1:8" ht="12" customHeight="1">
      <c r="A15" s="5">
        <v>1</v>
      </c>
      <c r="B15" s="27" t="s">
        <v>4</v>
      </c>
      <c r="C15" s="4">
        <v>3</v>
      </c>
      <c r="D15" s="4">
        <v>5</v>
      </c>
      <c r="E15" s="4">
        <v>6</v>
      </c>
      <c r="F15" s="4">
        <v>7</v>
      </c>
      <c r="G15" s="4">
        <v>8</v>
      </c>
    </row>
    <row r="16" spans="1:8" ht="25.5">
      <c r="A16" s="58" t="s">
        <v>33</v>
      </c>
      <c r="B16" s="116" t="s">
        <v>8</v>
      </c>
      <c r="C16" s="9" t="s">
        <v>9</v>
      </c>
      <c r="D16" s="29">
        <f>SUM(D17:D21)</f>
        <v>13820700</v>
      </c>
      <c r="E16" s="29">
        <f>SUM(E17:E21)</f>
        <v>13756100</v>
      </c>
      <c r="F16" s="29">
        <f>SUM(F17:F21)</f>
        <v>11693300</v>
      </c>
      <c r="G16" s="29">
        <f>SUM(G17:G21)</f>
        <v>64600</v>
      </c>
    </row>
    <row r="17" spans="1:7">
      <c r="A17" s="26" t="s">
        <v>77</v>
      </c>
      <c r="B17" s="117"/>
      <c r="C17" s="10" t="s">
        <v>62</v>
      </c>
      <c r="D17" s="11">
        <f>5437000+14000</f>
        <v>5451000</v>
      </c>
      <c r="E17" s="11">
        <f>D17-G17</f>
        <v>5401800</v>
      </c>
      <c r="F17" s="11">
        <f>4257100-3900</f>
        <v>4253200</v>
      </c>
      <c r="G17" s="11">
        <f>37200+12000</f>
        <v>49200</v>
      </c>
    </row>
    <row r="18" spans="1:7">
      <c r="A18" s="26" t="s">
        <v>79</v>
      </c>
      <c r="B18" s="117"/>
      <c r="C18" s="10" t="s">
        <v>157</v>
      </c>
      <c r="D18" s="11">
        <v>7614100</v>
      </c>
      <c r="E18" s="11">
        <f>D18-G18</f>
        <v>7598700</v>
      </c>
      <c r="F18" s="11">
        <v>7253600</v>
      </c>
      <c r="G18" s="11">
        <v>15400</v>
      </c>
    </row>
    <row r="19" spans="1:7">
      <c r="A19" s="26" t="s">
        <v>80</v>
      </c>
      <c r="B19" s="117"/>
      <c r="C19" s="10" t="s">
        <v>145</v>
      </c>
      <c r="D19" s="21">
        <f>106600+129200+44500+8300</f>
        <v>288600</v>
      </c>
      <c r="E19" s="11">
        <f>D19-G19</f>
        <v>288600</v>
      </c>
      <c r="F19" s="21">
        <f>102500+44100+2300</f>
        <v>148900</v>
      </c>
      <c r="G19" s="21"/>
    </row>
    <row r="20" spans="1:7">
      <c r="A20" s="26" t="s">
        <v>175</v>
      </c>
      <c r="B20" s="117"/>
      <c r="C20" s="10" t="s">
        <v>64</v>
      </c>
      <c r="D20" s="11">
        <f>443000+16700-1100</f>
        <v>458600</v>
      </c>
      <c r="E20" s="11">
        <f>D20-G20</f>
        <v>458600</v>
      </c>
      <c r="F20" s="11">
        <v>37600</v>
      </c>
      <c r="G20" s="21"/>
    </row>
    <row r="21" spans="1:7">
      <c r="A21" s="26" t="s">
        <v>176</v>
      </c>
      <c r="B21" s="118"/>
      <c r="C21" s="10" t="s">
        <v>146</v>
      </c>
      <c r="D21" s="21">
        <v>8400</v>
      </c>
      <c r="E21" s="11">
        <f>D21-G21</f>
        <v>8400</v>
      </c>
      <c r="F21" s="21"/>
      <c r="G21" s="21"/>
    </row>
    <row r="22" spans="1:7" ht="25.5">
      <c r="A22" s="58" t="s">
        <v>34</v>
      </c>
      <c r="B22" s="113" t="s">
        <v>7</v>
      </c>
      <c r="C22" s="7" t="s">
        <v>14</v>
      </c>
      <c r="D22" s="30">
        <f>SUM(D23:D26)</f>
        <v>5813400</v>
      </c>
      <c r="E22" s="30">
        <f>SUM(E23:E26)</f>
        <v>5788400</v>
      </c>
      <c r="F22" s="30">
        <f>SUM(F23:F26)</f>
        <v>2935300</v>
      </c>
      <c r="G22" s="30">
        <f>SUM(G23:G26)</f>
        <v>25000</v>
      </c>
    </row>
    <row r="23" spans="1:7" ht="12" customHeight="1">
      <c r="A23" s="57" t="s">
        <v>81</v>
      </c>
      <c r="B23" s="114"/>
      <c r="C23" s="10" t="s">
        <v>62</v>
      </c>
      <c r="D23" s="47">
        <f>2560900+10000</f>
        <v>2570900</v>
      </c>
      <c r="E23" s="11">
        <f>D23-G23</f>
        <v>2557900</v>
      </c>
      <c r="F23" s="47">
        <v>1131200</v>
      </c>
      <c r="G23" s="47">
        <v>13000</v>
      </c>
    </row>
    <row r="24" spans="1:7">
      <c r="A24" s="57" t="s">
        <v>82</v>
      </c>
      <c r="B24" s="114"/>
      <c r="C24" s="10" t="s">
        <v>145</v>
      </c>
      <c r="D24" s="14">
        <f>168000+59500+7100+24900</f>
        <v>259500</v>
      </c>
      <c r="E24" s="11">
        <f>D24-G24</f>
        <v>259500</v>
      </c>
      <c r="F24" s="15">
        <f>111400+64700+7000+5300</f>
        <v>188400</v>
      </c>
      <c r="G24" s="15"/>
    </row>
    <row r="25" spans="1:7" ht="12.75" customHeight="1">
      <c r="A25" s="57" t="s">
        <v>84</v>
      </c>
      <c r="B25" s="114"/>
      <c r="C25" s="10" t="s">
        <v>63</v>
      </c>
      <c r="D25" s="14">
        <v>1914200</v>
      </c>
      <c r="E25" s="11">
        <f>D25-G25</f>
        <v>1914200</v>
      </c>
      <c r="F25" s="49">
        <v>926300</v>
      </c>
      <c r="G25" s="14"/>
    </row>
    <row r="26" spans="1:7">
      <c r="A26" s="26" t="s">
        <v>177</v>
      </c>
      <c r="B26" s="115"/>
      <c r="C26" s="10" t="s">
        <v>64</v>
      </c>
      <c r="D26" s="47">
        <v>1068800</v>
      </c>
      <c r="E26" s="11">
        <f>D26-G26</f>
        <v>1056800</v>
      </c>
      <c r="F26" s="47">
        <v>689400</v>
      </c>
      <c r="G26" s="47">
        <v>12000</v>
      </c>
    </row>
    <row r="27" spans="1:7" ht="25.5">
      <c r="A27" s="59" t="s">
        <v>35</v>
      </c>
      <c r="B27" s="113" t="s">
        <v>21</v>
      </c>
      <c r="C27" s="13" t="s">
        <v>165</v>
      </c>
      <c r="D27" s="37">
        <f>SUM(D28:D30)</f>
        <v>2233500</v>
      </c>
      <c r="E27" s="37">
        <f>SUM(E28:E30)</f>
        <v>2103200</v>
      </c>
      <c r="F27" s="37">
        <f>SUM(F28:F30)</f>
        <v>1391700</v>
      </c>
      <c r="G27" s="37">
        <f>SUM(G28:G30)</f>
        <v>130300</v>
      </c>
    </row>
    <row r="28" spans="1:7">
      <c r="A28" s="6" t="s">
        <v>89</v>
      </c>
      <c r="B28" s="114"/>
      <c r="C28" s="10" t="s">
        <v>145</v>
      </c>
      <c r="D28" s="14">
        <f>21000+30100+5000</f>
        <v>56100</v>
      </c>
      <c r="E28" s="11">
        <f>D28-G28</f>
        <v>56100</v>
      </c>
      <c r="F28" s="15">
        <v>21000</v>
      </c>
      <c r="G28" s="15"/>
    </row>
    <row r="29" spans="1:7">
      <c r="A29" s="6" t="s">
        <v>91</v>
      </c>
      <c r="B29" s="114"/>
      <c r="C29" s="10" t="s">
        <v>62</v>
      </c>
      <c r="D29" s="14">
        <f>2147200+14000</f>
        <v>2161200</v>
      </c>
      <c r="E29" s="11">
        <f>D29-G29</f>
        <v>2033300</v>
      </c>
      <c r="F29" s="14">
        <v>1370700</v>
      </c>
      <c r="G29" s="14">
        <v>127900</v>
      </c>
    </row>
    <row r="30" spans="1:7" ht="12.75" customHeight="1">
      <c r="A30" s="6" t="s">
        <v>93</v>
      </c>
      <c r="B30" s="115"/>
      <c r="C30" s="10" t="s">
        <v>64</v>
      </c>
      <c r="D30" s="14">
        <v>16200</v>
      </c>
      <c r="E30" s="11">
        <f>D30-G30</f>
        <v>13800</v>
      </c>
      <c r="F30" s="14"/>
      <c r="G30" s="14">
        <v>2400</v>
      </c>
    </row>
    <row r="31" spans="1:7" ht="36.75" customHeight="1">
      <c r="A31" s="58" t="s">
        <v>36</v>
      </c>
      <c r="B31" s="113" t="s">
        <v>15</v>
      </c>
      <c r="C31" s="13" t="s">
        <v>16</v>
      </c>
      <c r="D31" s="37">
        <f>SUM(D32:D35)</f>
        <v>4186100</v>
      </c>
      <c r="E31" s="37">
        <f>SUM(E32:E35)</f>
        <v>3825800</v>
      </c>
      <c r="F31" s="37">
        <f>SUM(F32:F35)</f>
        <v>2989200</v>
      </c>
      <c r="G31" s="37">
        <f>SUM(G32:G35)</f>
        <v>360300</v>
      </c>
    </row>
    <row r="32" spans="1:7">
      <c r="A32" s="26" t="s">
        <v>150</v>
      </c>
      <c r="B32" s="114"/>
      <c r="C32" s="10" t="s">
        <v>62</v>
      </c>
      <c r="D32" s="14">
        <f>3287400-10000+69700</f>
        <v>3347100</v>
      </c>
      <c r="E32" s="11">
        <f>D32-G32</f>
        <v>2986800</v>
      </c>
      <c r="F32" s="14">
        <v>2248700</v>
      </c>
      <c r="G32" s="14">
        <f>304800-14200+69700</f>
        <v>360300</v>
      </c>
    </row>
    <row r="33" spans="1:7">
      <c r="A33" s="26" t="s">
        <v>160</v>
      </c>
      <c r="B33" s="114"/>
      <c r="C33" s="10" t="s">
        <v>63</v>
      </c>
      <c r="D33" s="14">
        <v>773200</v>
      </c>
      <c r="E33" s="11">
        <f>D33-G33</f>
        <v>773200</v>
      </c>
      <c r="F33" s="14">
        <v>740500</v>
      </c>
      <c r="G33" s="14"/>
    </row>
    <row r="34" spans="1:7">
      <c r="A34" s="26" t="s">
        <v>161</v>
      </c>
      <c r="B34" s="114"/>
      <c r="C34" s="10" t="s">
        <v>64</v>
      </c>
      <c r="D34" s="14">
        <f>65000+800</f>
        <v>65800</v>
      </c>
      <c r="E34" s="11">
        <f>D34-G34</f>
        <v>65800</v>
      </c>
      <c r="F34" s="14"/>
      <c r="G34" s="14"/>
    </row>
    <row r="35" spans="1:7">
      <c r="A35" s="26" t="s">
        <v>178</v>
      </c>
      <c r="B35" s="115"/>
      <c r="C35" s="10" t="s">
        <v>145</v>
      </c>
      <c r="D35" s="14">
        <f>69700-69700</f>
        <v>0</v>
      </c>
      <c r="E35" s="11">
        <f>D35-G35</f>
        <v>0</v>
      </c>
      <c r="F35" s="14"/>
      <c r="G35" s="14">
        <f>69700-69700</f>
        <v>0</v>
      </c>
    </row>
    <row r="36" spans="1:7" ht="25.5">
      <c r="A36" s="58">
        <v>5</v>
      </c>
      <c r="B36" s="113" t="s">
        <v>17</v>
      </c>
      <c r="C36" s="28" t="s">
        <v>60</v>
      </c>
      <c r="D36" s="30">
        <f>SUM(D37:D38)</f>
        <v>1658400</v>
      </c>
      <c r="E36" s="30">
        <f>SUM(E37:E38)</f>
        <v>1519300</v>
      </c>
      <c r="F36" s="30">
        <f>SUM(F37:F38)</f>
        <v>157900</v>
      </c>
      <c r="G36" s="30">
        <f>SUM(G37:G38)</f>
        <v>139100</v>
      </c>
    </row>
    <row r="37" spans="1:7">
      <c r="A37" s="26" t="s">
        <v>162</v>
      </c>
      <c r="B37" s="114"/>
      <c r="C37" s="10" t="s">
        <v>63</v>
      </c>
      <c r="D37" s="17">
        <v>304900</v>
      </c>
      <c r="E37" s="11">
        <f>D37-G37</f>
        <v>304900</v>
      </c>
      <c r="F37" s="17">
        <v>157700</v>
      </c>
      <c r="G37" s="17"/>
    </row>
    <row r="38" spans="1:7">
      <c r="A38" s="26" t="s">
        <v>179</v>
      </c>
      <c r="B38" s="115"/>
      <c r="C38" s="10" t="s">
        <v>62</v>
      </c>
      <c r="D38" s="17">
        <f>1307100+10000+36400</f>
        <v>1353500</v>
      </c>
      <c r="E38" s="11">
        <f>D38-G38</f>
        <v>1214400</v>
      </c>
      <c r="F38" s="17">
        <f>0+200</f>
        <v>200</v>
      </c>
      <c r="G38" s="17">
        <f>127100+12000</f>
        <v>139100</v>
      </c>
    </row>
    <row r="39" spans="1:7" ht="25.5">
      <c r="A39" s="58" t="s">
        <v>38</v>
      </c>
      <c r="B39" s="113" t="s">
        <v>28</v>
      </c>
      <c r="C39" s="28" t="s">
        <v>129</v>
      </c>
      <c r="D39" s="30">
        <f>SUM(D40:D42)</f>
        <v>3186200</v>
      </c>
      <c r="E39" s="30">
        <f>SUM(E40:E42)</f>
        <v>1875600</v>
      </c>
      <c r="F39" s="30">
        <f>SUM(F40:F42)</f>
        <v>145700</v>
      </c>
      <c r="G39" s="30">
        <f>SUM(G40:G42)</f>
        <v>1310600</v>
      </c>
    </row>
    <row r="40" spans="1:7" ht="12.75" customHeight="1">
      <c r="A40" s="26" t="s">
        <v>180</v>
      </c>
      <c r="B40" s="114"/>
      <c r="C40" s="10" t="s">
        <v>62</v>
      </c>
      <c r="D40" s="14">
        <f>1932600-10000+69700-14000-69700</f>
        <v>1908600</v>
      </c>
      <c r="E40" s="11">
        <f>D40-G40</f>
        <v>1298000</v>
      </c>
      <c r="F40" s="14">
        <v>145700</v>
      </c>
      <c r="G40" s="14">
        <f>567500+43100</f>
        <v>610600</v>
      </c>
    </row>
    <row r="41" spans="1:7" ht="12.75" customHeight="1">
      <c r="A41" s="26" t="s">
        <v>58</v>
      </c>
      <c r="B41" s="114"/>
      <c r="C41" s="10" t="s">
        <v>63</v>
      </c>
      <c r="D41" s="14">
        <v>10200</v>
      </c>
      <c r="E41" s="11">
        <f>D41-G41</f>
        <v>10200</v>
      </c>
      <c r="F41" s="14"/>
      <c r="G41" s="14"/>
    </row>
    <row r="42" spans="1:7" ht="12.75" customHeight="1">
      <c r="A42" s="26" t="s">
        <v>181</v>
      </c>
      <c r="B42" s="115"/>
      <c r="C42" s="10" t="s">
        <v>145</v>
      </c>
      <c r="D42" s="14">
        <f>1197700+69700</f>
        <v>1267400</v>
      </c>
      <c r="E42" s="11">
        <f>D42-G42</f>
        <v>567400</v>
      </c>
      <c r="F42" s="14"/>
      <c r="G42" s="14">
        <v>700000</v>
      </c>
    </row>
    <row r="43" spans="1:7" ht="12.75" customHeight="1">
      <c r="A43" s="26" t="s">
        <v>182</v>
      </c>
      <c r="B43" s="113" t="s">
        <v>29</v>
      </c>
      <c r="C43" s="13" t="s">
        <v>30</v>
      </c>
      <c r="D43" s="36">
        <f>D44+D45+D46</f>
        <v>1063100</v>
      </c>
      <c r="E43" s="36">
        <f>E44+E45+E46</f>
        <v>85700</v>
      </c>
      <c r="F43" s="36">
        <f>F44+F45+F46</f>
        <v>0</v>
      </c>
      <c r="G43" s="36">
        <f>G44+G45+G46</f>
        <v>977400</v>
      </c>
    </row>
    <row r="44" spans="1:7" ht="12.75" customHeight="1">
      <c r="A44" s="26" t="s">
        <v>183</v>
      </c>
      <c r="B44" s="114"/>
      <c r="C44" s="10" t="s">
        <v>62</v>
      </c>
      <c r="D44" s="14">
        <v>372800</v>
      </c>
      <c r="E44" s="53">
        <f>D44-G44</f>
        <v>36900</v>
      </c>
      <c r="F44" s="12"/>
      <c r="G44" s="12">
        <f>336200-300</f>
        <v>335900</v>
      </c>
    </row>
    <row r="45" spans="1:7" ht="12.75" customHeight="1">
      <c r="A45" s="26" t="s">
        <v>184</v>
      </c>
      <c r="B45" s="114"/>
      <c r="C45" s="10" t="s">
        <v>145</v>
      </c>
      <c r="D45" s="14">
        <f>277900+400</f>
        <v>278300</v>
      </c>
      <c r="E45" s="11">
        <f>D45-G45</f>
        <v>500</v>
      </c>
      <c r="F45" s="12"/>
      <c r="G45" s="12">
        <f>277400+400</f>
        <v>277800</v>
      </c>
    </row>
    <row r="46" spans="1:7">
      <c r="A46" s="26" t="s">
        <v>185</v>
      </c>
      <c r="B46" s="115"/>
      <c r="C46" s="10" t="s">
        <v>146</v>
      </c>
      <c r="D46" s="14">
        <f>367000+45000</f>
        <v>412000</v>
      </c>
      <c r="E46" s="11">
        <f>D46-G46</f>
        <v>48300</v>
      </c>
      <c r="F46" s="12"/>
      <c r="G46" s="12">
        <f>340800+22900</f>
        <v>363700</v>
      </c>
    </row>
    <row r="47" spans="1:7">
      <c r="A47" s="6"/>
      <c r="B47" s="60"/>
      <c r="C47" s="40" t="s">
        <v>72</v>
      </c>
      <c r="D47" s="16">
        <f>SUM(D43+D39+D36+D31+D27+D22+D16)</f>
        <v>31961400</v>
      </c>
      <c r="E47" s="16">
        <f>SUM(E43+E39+E36+E31+E27+E22+E16)</f>
        <v>28954100</v>
      </c>
      <c r="F47" s="16">
        <f>F43+F39+F36+F31+F27+F22+F16</f>
        <v>19313100</v>
      </c>
      <c r="G47" s="16">
        <f>SUM(G43+G39+G36+G31+G27+G22+G16)</f>
        <v>3007300</v>
      </c>
    </row>
    <row r="48" spans="1:7">
      <c r="A48" s="85"/>
      <c r="B48" s="85"/>
      <c r="C48" s="85"/>
      <c r="D48" s="85"/>
      <c r="E48" s="85"/>
      <c r="F48" s="85"/>
      <c r="G48" s="85"/>
    </row>
    <row r="49" spans="1:9">
      <c r="A49" s="22"/>
      <c r="B49" s="22"/>
      <c r="C49" s="22"/>
      <c r="D49" s="22"/>
      <c r="E49" s="22"/>
      <c r="F49" s="22"/>
      <c r="G49" s="22"/>
    </row>
    <row r="50" spans="1:9">
      <c r="A50" s="22"/>
      <c r="B50" s="22"/>
      <c r="C50" s="38" t="s">
        <v>62</v>
      </c>
      <c r="D50" s="51">
        <f>D17+D23+D29+D32+D38+D40+D44</f>
        <v>17165100</v>
      </c>
      <c r="E50" s="51">
        <f>E17+E23+E29+E32+E38+E40+E44</f>
        <v>15529100</v>
      </c>
      <c r="F50" s="51">
        <f>F17+F23+F29+F32+F38+F40+F44</f>
        <v>9149700</v>
      </c>
      <c r="G50" s="51">
        <f>G17+G23+G29+G32+G38+G40+G44</f>
        <v>1636000</v>
      </c>
    </row>
    <row r="51" spans="1:9">
      <c r="A51" s="22"/>
      <c r="B51" s="22"/>
      <c r="C51" s="38" t="s">
        <v>157</v>
      </c>
      <c r="D51" s="48">
        <f>D18</f>
        <v>7614100</v>
      </c>
      <c r="E51" s="48">
        <f>E18</f>
        <v>7598700</v>
      </c>
      <c r="F51" s="39">
        <f>F18</f>
        <v>7253600</v>
      </c>
      <c r="G51" s="48">
        <f>G18</f>
        <v>15400</v>
      </c>
    </row>
    <row r="52" spans="1:9">
      <c r="A52" s="22"/>
      <c r="B52" s="22"/>
      <c r="C52" s="38" t="s">
        <v>63</v>
      </c>
      <c r="D52" s="51">
        <f>D25+D33+D37+D41</f>
        <v>3002500</v>
      </c>
      <c r="E52" s="51">
        <f>E25+E33+E37+E41</f>
        <v>3002500</v>
      </c>
      <c r="F52" s="54">
        <f>F25+F33+F37+F41</f>
        <v>1824500</v>
      </c>
      <c r="G52" s="51">
        <f>G25+G33+G37+G41</f>
        <v>0</v>
      </c>
    </row>
    <row r="53" spans="1:9">
      <c r="C53" s="38" t="s">
        <v>145</v>
      </c>
      <c r="D53" s="51">
        <f>D45+D42+D35+D28+D24+D19</f>
        <v>2149900</v>
      </c>
      <c r="E53" s="51">
        <f>E45+E42+E35+E28+E24+E19</f>
        <v>1172100</v>
      </c>
      <c r="F53" s="54">
        <f>F45+F42+F35+F28+F24+F19</f>
        <v>358300</v>
      </c>
      <c r="G53" s="51">
        <f>G45+G42+G35+G28+G24+G19</f>
        <v>977800</v>
      </c>
    </row>
    <row r="54" spans="1:9">
      <c r="C54" s="38" t="s">
        <v>64</v>
      </c>
      <c r="D54" s="51">
        <f>D20+D26+D30+D34</f>
        <v>1609400</v>
      </c>
      <c r="E54" s="51">
        <f>E20+E26+E30+E34</f>
        <v>1595000</v>
      </c>
      <c r="F54" s="54">
        <f>F20+F26+F30+F34</f>
        <v>727000</v>
      </c>
      <c r="G54" s="51">
        <f>G20+G26+G30+G34</f>
        <v>14400</v>
      </c>
    </row>
    <row r="55" spans="1:9">
      <c r="C55" s="38" t="s">
        <v>146</v>
      </c>
      <c r="D55" s="51">
        <f>D21+D46</f>
        <v>420400</v>
      </c>
      <c r="E55" s="51">
        <f>E21+E46</f>
        <v>56700</v>
      </c>
      <c r="F55" s="51">
        <f>F21+F46</f>
        <v>0</v>
      </c>
      <c r="G55" s="51">
        <f>G21+G46</f>
        <v>363700</v>
      </c>
    </row>
    <row r="56" spans="1:9">
      <c r="C56" s="40" t="s">
        <v>159</v>
      </c>
      <c r="D56" s="52">
        <f>SUM(D50:D55)</f>
        <v>31961400</v>
      </c>
      <c r="E56" s="52">
        <f>SUM(E50:E55)</f>
        <v>28954100</v>
      </c>
      <c r="F56" s="52">
        <f>SUM(F50:F55)</f>
        <v>19313100</v>
      </c>
      <c r="G56" s="52">
        <f>SUM(G50:G55)</f>
        <v>3007300</v>
      </c>
    </row>
    <row r="58" spans="1:9">
      <c r="A58" s="61"/>
      <c r="B58" s="61"/>
      <c r="C58" s="90" t="s">
        <v>186</v>
      </c>
      <c r="D58" s="90"/>
      <c r="E58" s="90"/>
      <c r="F58" s="90"/>
      <c r="G58" s="90"/>
      <c r="H58" s="61"/>
      <c r="I58" s="61"/>
    </row>
  </sheetData>
  <mergeCells count="25">
    <mergeCell ref="E1:G1"/>
    <mergeCell ref="E2:G2"/>
    <mergeCell ref="E3:G3"/>
    <mergeCell ref="E4:G4"/>
    <mergeCell ref="D10:E10"/>
    <mergeCell ref="F10:G10"/>
    <mergeCell ref="A9:G9"/>
    <mergeCell ref="E7:G7"/>
    <mergeCell ref="B31:B35"/>
    <mergeCell ref="B36:B38"/>
    <mergeCell ref="B39:B42"/>
    <mergeCell ref="C11:C14"/>
    <mergeCell ref="D11:G11"/>
    <mergeCell ref="E13:F13"/>
    <mergeCell ref="G13:G14"/>
    <mergeCell ref="C58:G58"/>
    <mergeCell ref="A48:G48"/>
    <mergeCell ref="A11:A14"/>
    <mergeCell ref="B11:B14"/>
    <mergeCell ref="D12:D14"/>
    <mergeCell ref="E12:G12"/>
    <mergeCell ref="B43:B46"/>
    <mergeCell ref="B16:B21"/>
    <mergeCell ref="B22:B26"/>
    <mergeCell ref="B27:B30"/>
  </mergeCells>
  <phoneticPr fontId="4" type="noConversion"/>
  <pageMargins left="1.3779527559055118" right="0.39370078740157483" top="0.39370078740157483" bottom="0.39370078740157483" header="0" footer="0"/>
  <pageSetup paperSize="9"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1 pr.pajamos</vt:lpstr>
      <vt:lpstr>2 pr. asignav. valdytojus</vt:lpstr>
      <vt:lpstr>3 pr. asignav. valdyt.šaltin</vt:lpstr>
      <vt:lpstr>4 pr. bendros išlaidos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Prienai</dc:creator>
  <cp:lastModifiedBy>User</cp:lastModifiedBy>
  <cp:lastPrinted>2021-04-26T11:04:41Z</cp:lastPrinted>
  <dcterms:created xsi:type="dcterms:W3CDTF">2011-02-01T07:14:51Z</dcterms:created>
  <dcterms:modified xsi:type="dcterms:W3CDTF">2021-04-30T07:26:45Z</dcterms:modified>
</cp:coreProperties>
</file>