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7515" windowHeight="5130" activeTab="3"/>
  </bookViews>
  <sheets>
    <sheet name="1 pr.pajamos" sheetId="22" r:id="rId1"/>
    <sheet name="2 pr. asignav. valdytojus" sheetId="6" r:id="rId2"/>
    <sheet name="3 pr. asignav. valdyt.šaltin" sheetId="34" r:id="rId3"/>
    <sheet name="4 pr. bendros išlaidos" sheetId="15" r:id="rId4"/>
  </sheets>
  <calcPr calcId="124519"/>
</workbook>
</file>

<file path=xl/calcChain.xml><?xml version="1.0" encoding="utf-8"?>
<calcChain xmlns="http://schemas.openxmlformats.org/spreadsheetml/2006/main">
  <c r="G45" i="15"/>
  <c r="D45"/>
  <c r="E45"/>
  <c r="D49" i="34"/>
  <c r="C49"/>
  <c r="C51"/>
  <c r="F49" i="6"/>
  <c r="F51"/>
  <c r="C49"/>
  <c r="C52" i="22"/>
  <c r="C51"/>
  <c r="D41" i="15"/>
  <c r="D40"/>
  <c r="D39"/>
  <c r="D36"/>
  <c r="D32"/>
  <c r="D29"/>
  <c r="D27"/>
  <c r="D35" i="34"/>
  <c r="C35" i="6"/>
  <c r="C51"/>
  <c r="C16" i="22"/>
  <c r="C15"/>
  <c r="C14"/>
  <c r="C50"/>
  <c r="D50" i="6"/>
  <c r="D50" i="34"/>
  <c r="C50"/>
  <c r="C50" i="6"/>
  <c r="D20" i="15"/>
  <c r="D16"/>
  <c r="G47"/>
  <c r="D47"/>
  <c r="G46"/>
  <c r="D46"/>
  <c r="G41"/>
  <c r="G51"/>
  <c r="G38"/>
  <c r="D38"/>
  <c r="D24"/>
  <c r="D54"/>
  <c r="F18"/>
  <c r="F16"/>
  <c r="F48"/>
  <c r="G17"/>
  <c r="G16"/>
  <c r="F17"/>
  <c r="D17"/>
  <c r="G49" i="34"/>
  <c r="G51"/>
  <c r="D51"/>
  <c r="I49"/>
  <c r="D21"/>
  <c r="C21"/>
  <c r="D20"/>
  <c r="H34"/>
  <c r="C34"/>
  <c r="E49"/>
  <c r="E23"/>
  <c r="E22"/>
  <c r="C22"/>
  <c r="E21"/>
  <c r="E20"/>
  <c r="E19"/>
  <c r="E18"/>
  <c r="C18"/>
  <c r="E17"/>
  <c r="E16"/>
  <c r="C34" i="6"/>
  <c r="E23"/>
  <c r="C23"/>
  <c r="F22"/>
  <c r="E22"/>
  <c r="C22"/>
  <c r="E21"/>
  <c r="C21"/>
  <c r="E20"/>
  <c r="C20"/>
  <c r="F19"/>
  <c r="E19"/>
  <c r="C19"/>
  <c r="E18"/>
  <c r="C18"/>
  <c r="E17"/>
  <c r="C17"/>
  <c r="E16"/>
  <c r="C16"/>
  <c r="C38" i="22"/>
  <c r="C29"/>
  <c r="C28"/>
  <c r="C25"/>
  <c r="D23" i="15"/>
  <c r="F47"/>
  <c r="G43"/>
  <c r="D43"/>
  <c r="E41"/>
  <c r="E40"/>
  <c r="G56"/>
  <c r="E38"/>
  <c r="D56"/>
  <c r="G39"/>
  <c r="D35"/>
  <c r="F33"/>
  <c r="D33"/>
  <c r="D28"/>
  <c r="D26"/>
  <c r="E26"/>
  <c r="F25"/>
  <c r="D25"/>
  <c r="E25"/>
  <c r="F24"/>
  <c r="F22"/>
  <c r="F23"/>
  <c r="D19"/>
  <c r="D22" i="34"/>
  <c r="D48"/>
  <c r="C48"/>
  <c r="D46"/>
  <c r="D40"/>
  <c r="D37"/>
  <c r="G47"/>
  <c r="G46"/>
  <c r="G48"/>
  <c r="C47"/>
  <c r="G38"/>
  <c r="G37"/>
  <c r="G21"/>
  <c r="G20"/>
  <c r="G19"/>
  <c r="G17"/>
  <c r="I51"/>
  <c r="H31"/>
  <c r="H30"/>
  <c r="H32"/>
  <c r="H46"/>
  <c r="E31"/>
  <c r="E30"/>
  <c r="F44"/>
  <c r="C44"/>
  <c r="F46"/>
  <c r="F49"/>
  <c r="F26"/>
  <c r="F25"/>
  <c r="F24"/>
  <c r="F23"/>
  <c r="F22"/>
  <c r="F21"/>
  <c r="F20"/>
  <c r="F19"/>
  <c r="F18"/>
  <c r="F17"/>
  <c r="E49" i="6"/>
  <c r="E48"/>
  <c r="C48"/>
  <c r="D48"/>
  <c r="E47"/>
  <c r="C47"/>
  <c r="E46"/>
  <c r="C46"/>
  <c r="D46"/>
  <c r="E44"/>
  <c r="C44"/>
  <c r="C40"/>
  <c r="C38"/>
  <c r="D38"/>
  <c r="C37"/>
  <c r="E32"/>
  <c r="C32"/>
  <c r="E31"/>
  <c r="C31"/>
  <c r="D31"/>
  <c r="E30"/>
  <c r="C30"/>
  <c r="C26"/>
  <c r="D26"/>
  <c r="C25"/>
  <c r="D25"/>
  <c r="C24"/>
  <c r="C37" i="22"/>
  <c r="C30"/>
  <c r="C26"/>
  <c r="E28" i="15"/>
  <c r="C49" i="22"/>
  <c r="F45" i="15"/>
  <c r="F44"/>
  <c r="E43"/>
  <c r="G35"/>
  <c r="G32"/>
  <c r="G31"/>
  <c r="D31"/>
  <c r="G29"/>
  <c r="E24"/>
  <c r="G19"/>
  <c r="E19"/>
  <c r="D36" i="34"/>
  <c r="D33"/>
  <c r="C33"/>
  <c r="D17"/>
  <c r="C17"/>
  <c r="D16"/>
  <c r="G16"/>
  <c r="C16"/>
  <c r="G44"/>
  <c r="G41"/>
  <c r="G22"/>
  <c r="C19"/>
  <c r="F44" i="6"/>
  <c r="C41"/>
  <c r="F36"/>
  <c r="D36"/>
  <c r="C36"/>
  <c r="F33"/>
  <c r="C33"/>
  <c r="D22"/>
  <c r="F21"/>
  <c r="F20"/>
  <c r="D19"/>
  <c r="F17"/>
  <c r="F16"/>
  <c r="D16"/>
  <c r="F56" i="15"/>
  <c r="D45" i="34"/>
  <c r="C45"/>
  <c r="F45" i="6"/>
  <c r="D45"/>
  <c r="C45"/>
  <c r="C34" i="22"/>
  <c r="C41"/>
  <c r="C23"/>
  <c r="D31" i="34"/>
  <c r="D26"/>
  <c r="C26"/>
  <c r="D25"/>
  <c r="D24"/>
  <c r="C24"/>
  <c r="D23"/>
  <c r="D19"/>
  <c r="D18"/>
  <c r="D21" i="6"/>
  <c r="C45" i="22"/>
  <c r="E35" i="15"/>
  <c r="E42"/>
  <c r="F40"/>
  <c r="F39"/>
  <c r="F51"/>
  <c r="F36"/>
  <c r="E37"/>
  <c r="D34"/>
  <c r="E34"/>
  <c r="E33"/>
  <c r="F31"/>
  <c r="E30"/>
  <c r="G27"/>
  <c r="F27"/>
  <c r="G22"/>
  <c r="E21"/>
  <c r="E20"/>
  <c r="E55"/>
  <c r="F19"/>
  <c r="E18"/>
  <c r="E17"/>
  <c r="E16"/>
  <c r="D42" i="34"/>
  <c r="C42"/>
  <c r="C46"/>
  <c r="C35"/>
  <c r="G39"/>
  <c r="C39"/>
  <c r="C38"/>
  <c r="G36"/>
  <c r="G27"/>
  <c r="C27"/>
  <c r="G25"/>
  <c r="G23"/>
  <c r="G18"/>
  <c r="E42" i="6"/>
  <c r="C42"/>
  <c r="C39"/>
  <c r="D34"/>
  <c r="D33"/>
  <c r="C29"/>
  <c r="C28"/>
  <c r="C27"/>
  <c r="D27"/>
  <c r="F25"/>
  <c r="D23"/>
  <c r="D20"/>
  <c r="E33"/>
  <c r="H20" i="34"/>
  <c r="C20"/>
  <c r="C23"/>
  <c r="C28"/>
  <c r="C29"/>
  <c r="C30"/>
  <c r="C31"/>
  <c r="C32"/>
  <c r="C36"/>
  <c r="C40"/>
  <c r="C41"/>
  <c r="C43"/>
  <c r="H49"/>
  <c r="H25"/>
  <c r="H16"/>
  <c r="E27" i="6"/>
  <c r="E25"/>
  <c r="E24"/>
  <c r="F53" i="15"/>
  <c r="G53"/>
  <c r="D53"/>
  <c r="D32" i="6"/>
  <c r="C46" i="22"/>
  <c r="C17"/>
  <c r="G55" i="15"/>
  <c r="D17" i="6"/>
  <c r="E52" i="15"/>
  <c r="D52"/>
  <c r="F52"/>
  <c r="G52"/>
  <c r="F55"/>
  <c r="D18" i="6"/>
  <c r="D24"/>
  <c r="D28"/>
  <c r="D29"/>
  <c r="D30"/>
  <c r="D37"/>
  <c r="D39"/>
  <c r="D40"/>
  <c r="D41"/>
  <c r="D42"/>
  <c r="D43"/>
  <c r="D47"/>
  <c r="C37" i="34"/>
  <c r="E46" i="15"/>
  <c r="D44"/>
  <c r="D48"/>
  <c r="D44" i="6"/>
  <c r="G54" i="15"/>
  <c r="E32"/>
  <c r="E31"/>
  <c r="E47"/>
  <c r="G44"/>
  <c r="G48"/>
  <c r="G36"/>
  <c r="D22"/>
  <c r="F54"/>
  <c r="E23"/>
  <c r="F51" i="34"/>
  <c r="E53" i="15"/>
  <c r="C25" i="34"/>
  <c r="D55" i="15"/>
  <c r="E56"/>
  <c r="G57"/>
  <c r="E54"/>
  <c r="G40"/>
  <c r="E22"/>
  <c r="F57"/>
  <c r="H51" i="34"/>
  <c r="E51"/>
  <c r="E51" i="6"/>
  <c r="D35"/>
  <c r="E39" i="15"/>
  <c r="E36"/>
  <c r="E29"/>
  <c r="E27"/>
  <c r="E51"/>
  <c r="E57"/>
  <c r="E44"/>
  <c r="E48"/>
  <c r="D51"/>
  <c r="D57"/>
  <c r="D49" i="6"/>
  <c r="D51"/>
</calcChain>
</file>

<file path=xl/sharedStrings.xml><?xml version="1.0" encoding="utf-8"?>
<sst xmlns="http://schemas.openxmlformats.org/spreadsheetml/2006/main" count="372" uniqueCount="202">
  <si>
    <t>Eil.Nr.</t>
  </si>
  <si>
    <t>Programos Nr.</t>
  </si>
  <si>
    <t>Iš viso</t>
  </si>
  <si>
    <t>Iš jų:</t>
  </si>
  <si>
    <t>2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</si>
  <si>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</si>
  <si>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</si>
  <si>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</si>
  <si>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</si>
  <si>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</si>
  <si>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</si>
  <si>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</si>
  <si>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</si>
  <si>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</si>
  <si>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</si>
  <si>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</si>
  <si>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</si>
  <si>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</si>
  <si>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</si>
  <si>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</si>
  <si>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</si>
  <si>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</si>
  <si>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</si>
  <si>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</si>
  <si>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</si>
  <si>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</si>
  <si>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kultūros ir laisvalaikio centras</t>
  </si>
  <si>
    <t>06</t>
  </si>
  <si>
    <t>07</t>
  </si>
  <si>
    <t>Investicijų programa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</si>
  <si>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</si>
  <si>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</si>
  <si>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</si>
  <si>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</si>
  <si>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</si>
  <si>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</si>
  <si>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</si>
  <si>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</si>
  <si>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</si>
  <si>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</si>
  <si>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</si>
  <si>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</si>
  <si>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</si>
  <si>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</si>
  <si>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</si>
  <si>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</si>
  <si>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</si>
  <si>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</si>
  <si>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</si>
  <si>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</si>
  <si>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</si>
  <si>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</si>
  <si>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</si>
  <si>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</si>
  <si>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</si>
  <si>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</si>
  <si>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</si>
  <si>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</si>
  <si>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</si>
  <si>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</si>
  <si>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</si>
  <si>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</si>
  <si>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</si>
  <si>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</si>
  <si>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</si>
  <si>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</si>
  <si>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</si>
  <si>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</si>
  <si>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</si>
  <si>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</si>
  <si>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</si>
  <si>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</si>
  <si>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3 priedas</t>
  </si>
  <si>
    <t>I.</t>
  </si>
  <si>
    <t>MOKESČIAI: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</si>
  <si>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</si>
  <si>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</si>
  <si>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</si>
  <si>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</si>
  <si>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</si>
  <si>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</si>
  <si>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</si>
  <si>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</si>
  <si>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</si>
  <si>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II.</t>
  </si>
  <si>
    <t>III.</t>
  </si>
  <si>
    <t>Kitos neišvardintos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</si>
  <si>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</si>
  <si>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</si>
  <si>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</si>
  <si>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</si>
  <si>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</si>
  <si>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</si>
  <si>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</si>
  <si>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</si>
  <si>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</si>
  <si>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</si>
  <si>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</si>
  <si>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</si>
  <si>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</si>
  <si>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</si>
  <si>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</si>
  <si>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</si>
  <si>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</si>
  <si>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</si>
  <si>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</si>
  <si>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</si>
  <si>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</si>
  <si>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</si>
  <si>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</si>
  <si>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</si>
  <si>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</si>
  <si>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Pakuonio pagrindinė mokykla</t>
  </si>
  <si>
    <t>Prienų r. Skriaudžių pagrindinė mokykla</t>
  </si>
  <si>
    <t>Prienų r. Jiezno muzikos mokykla</t>
  </si>
  <si>
    <t>Prienų r. Balbieriškio pagrindinė mokykla</t>
  </si>
  <si>
    <t>V.</t>
  </si>
  <si>
    <t>Prienų r. Stakliškių gimnazija</t>
  </si>
  <si>
    <t>Prienų ,,Ąžuolo“ progimnazija</t>
  </si>
  <si>
    <t>Prienų r. Šilavoto pagrindinė mokykla</t>
  </si>
  <si>
    <t>(eurais)</t>
  </si>
  <si>
    <t>Kitos tikslinės dotacijos</t>
  </si>
  <si>
    <t xml:space="preserve">Pajamos </t>
  </si>
  <si>
    <t>1 priedas</t>
  </si>
  <si>
    <t>4.1.</t>
  </si>
  <si>
    <t>2 priedas</t>
  </si>
  <si>
    <t>4 priedas</t>
  </si>
  <si>
    <t>Prienų švietimo pagalbos tarnyba</t>
  </si>
  <si>
    <t>Prienų r. Jiezno paramos šeimai centras</t>
  </si>
  <si>
    <t>Mokymo lėšos</t>
  </si>
  <si>
    <t>Praėjusių metų nepanaudota pajamų dalis</t>
  </si>
  <si>
    <t>Iš viso asignavimų pagal šaltinius</t>
  </si>
  <si>
    <t>4.2.</t>
  </si>
  <si>
    <t>4.3.</t>
  </si>
  <si>
    <t>5.1.</t>
  </si>
  <si>
    <t>Kultūros, sporto, jaunimo ir bendruomenės veiklos aktyvinimo programa</t>
  </si>
  <si>
    <t>2021 m. sausio 28 d.</t>
  </si>
  <si>
    <t>PRIENŲ RAJONO SAVIVALDYBĖS 2021 METŲ BIUDŽETO PAJAMŲ PLANAS</t>
  </si>
  <si>
    <t>Dividendai ir kitos pelno įmokos</t>
  </si>
  <si>
    <t xml:space="preserve">PRIENŲ RAJONO SAVIVALDYBĖS 2021 METŲ BIUDŽETO IŠLAIDOS                                                                                                                PAGAL  PROGRAMAS IR FINANSAVIMO ŠALTINIUS </t>
  </si>
  <si>
    <t xml:space="preserve">PRIENŲ RAJONO SAVIVALDYBĖS 2021 METŲ BIUDŽETO IŠLAIDOS PAGAL ASIGNAVIMŲ VALDYTOJUS </t>
  </si>
  <si>
    <t>1.4.</t>
  </si>
  <si>
    <t>1.5.</t>
  </si>
  <si>
    <t>2.4.</t>
  </si>
  <si>
    <t>4.4.</t>
  </si>
  <si>
    <t>5.2.</t>
  </si>
  <si>
    <t>6.1.</t>
  </si>
  <si>
    <t>6.2.</t>
  </si>
  <si>
    <t>6.3.</t>
  </si>
  <si>
    <t>6.4.</t>
  </si>
  <si>
    <t>6.5.</t>
  </si>
  <si>
    <t>6.6.</t>
  </si>
  <si>
    <t>_____________________</t>
  </si>
  <si>
    <t>PAGAL ASIGNAVIMŲ VALDYTOJUS IR FINANSAVIMO ŠALTINIUS</t>
  </si>
  <si>
    <t xml:space="preserve">PRIENŲ RAJONO SAVIVALDYBĖS 2021 METŲ BIUDŽETO IŠLAIDOS  </t>
  </si>
  <si>
    <t>Prienų ,,Revuonos“ pagrindinė mokykla</t>
  </si>
  <si>
    <t xml:space="preserve">      iš jų Mero fondas</t>
  </si>
  <si>
    <r>
      <t xml:space="preserve">      iš jų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>Mero fondas</t>
    </r>
  </si>
  <si>
    <t xml:space="preserve">(Prienų rajono savivaldybės tarybos </t>
  </si>
  <si>
    <t>sprendimo Nr. T3-2</t>
  </si>
  <si>
    <t>Dotacija 2020 metų negautoms pajamoms kompensuoti</t>
  </si>
  <si>
    <t>Paveldimo turto mokestis</t>
  </si>
  <si>
    <t>Nekilnojamojo turto mokestis</t>
  </si>
  <si>
    <t>Žemės mokestis</t>
  </si>
  <si>
    <t>Fizinių asmenų žemės mokestis</t>
  </si>
  <si>
    <t>Juridinių asmenų žemės mokestis</t>
  </si>
  <si>
    <t>Pajamų ir pelno mokesčiai</t>
  </si>
  <si>
    <t xml:space="preserve">Gyventojų pajamų mokestis </t>
  </si>
  <si>
    <t>Mokestis už aplinkos teršimą</t>
  </si>
  <si>
    <t>SPECIALI TIKSLINĖ DOTACIJA SAVIVALDYBEI</t>
  </si>
  <si>
    <t>Valstybinėms (perduotoms savivaldybėms) funkcijoms atlikti</t>
  </si>
  <si>
    <t>Mokinio krepšeliui finansuoti</t>
  </si>
  <si>
    <t>Kita tikslinė dotacija</t>
  </si>
  <si>
    <t>DOTACIJA SAVIVALDYBEI IŠ EUROPOS SĄJUNGOS</t>
  </si>
  <si>
    <t>KITOS PAJAMOS</t>
  </si>
  <si>
    <t>Palūkanos už indelius, depozitus ir sąskaitų likučius</t>
  </si>
  <si>
    <t xml:space="preserve">Nuomos mokestis už valstybinę žemę </t>
  </si>
  <si>
    <t>Mokesčiai už valstybinius gamtos išteklius</t>
  </si>
  <si>
    <t>Mokestis už medžiojamųjų gyvūnų išteklius</t>
  </si>
  <si>
    <t>Pajamos už prekes ir paslaugas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</si>
  <si>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</si>
  <si>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</si>
  <si>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</si>
  <si>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</t>
  </si>
  <si>
    <t>Valstybės rinkliava</t>
  </si>
  <si>
    <t>Vietinė rinkliava</t>
  </si>
  <si>
    <t>Pajamos iš baudų ir konfiskacijos</t>
  </si>
  <si>
    <t>Ilgalaikio materialiojo turto realizavimo pajamos</t>
  </si>
  <si>
    <t>Žemės realizavimo pajamos</t>
  </si>
  <si>
    <t>Kito ilgalaikio materialiojo turto realizavimo pajamos</t>
  </si>
  <si>
    <t>5.3.</t>
  </si>
  <si>
    <t>9.1.</t>
  </si>
  <si>
    <t>9.2.</t>
  </si>
  <si>
    <t>Prekių ir paslaugų mokesčiai</t>
  </si>
  <si>
    <t>VI.</t>
  </si>
  <si>
    <t>Dotacija savivaldybei iš ES</t>
  </si>
  <si>
    <t xml:space="preserve">Dotacija savivaldybei iš Europos Sąjungos </t>
  </si>
  <si>
    <t>VII.</t>
  </si>
  <si>
    <t>Paskola</t>
  </si>
  <si>
    <t>2021 m. rugsėjo 30 d.</t>
  </si>
  <si>
    <t>Prienų rajono savivaldybės administracija</t>
  </si>
  <si>
    <t>sprendimo Nr. T3-199 redakcija)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</si>
</sst>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3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64" fontId="0" fillId="0" borderId="0" xfId="1" applyFont="1"/>
    <xf numFmtId="0" fontId="2" fillId="0" borderId="0" xfId="0" applyFont="1" applyAlignment="1">
      <alignment horizontal="right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7" xfId="0" applyNumberFormat="1" applyFont="1" applyFill="1" applyBorder="1" applyAlignment="1">
      <alignment horizontal="right"/>
    </xf>
    <xf numFmtId="0" fontId="2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2" xfId="0" applyNumberFormat="1" applyFont="1" applyBorder="1"/>
    <xf numFmtId="1" fontId="3" fillId="0" borderId="2" xfId="0" applyNumberFormat="1" applyFont="1" applyBorder="1"/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/>
    <xf numFmtId="0" fontId="8" fillId="0" borderId="0" xfId="0" applyFont="1"/>
    <xf numFmtId="164" fontId="8" fillId="0" borderId="0" xfId="1" applyFont="1"/>
    <xf numFmtId="0" fontId="2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165" fontId="9" fillId="0" borderId="4" xfId="0" applyNumberFormat="1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 vertical="top"/>
    </xf>
    <xf numFmtId="1" fontId="9" fillId="0" borderId="1" xfId="0" applyNumberFormat="1" applyFont="1" applyFill="1" applyBorder="1" applyAlignment="1">
      <alignment horizontal="right" vertical="top"/>
    </xf>
    <xf numFmtId="165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top"/>
    </xf>
    <xf numFmtId="165" fontId="9" fillId="0" borderId="2" xfId="0" applyNumberFormat="1" applyFont="1" applyFill="1" applyBorder="1" applyAlignment="1">
      <alignment horizontal="left" wrapText="1"/>
    </xf>
    <xf numFmtId="165" fontId="9" fillId="0" borderId="8" xfId="0" applyNumberFormat="1" applyFont="1" applyFill="1" applyBorder="1" applyAlignment="1">
      <alignment wrapText="1"/>
    </xf>
    <xf numFmtId="165" fontId="9" fillId="0" borderId="4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7"/>
  <sheetViews>
    <sheetView zoomScale="141" zoomScaleNormal="141" workbookViewId="0">
      <selection activeCell="C7" sqref="C7"/>
    </sheetView>
  </sheetViews>
  <sheetFormatPr defaultRowHeight="12.75"/>
  <cols>
    <col min="1" max="1" width="5.42578125" customWidth="1"/>
    <col min="2" max="2" width="60.7109375" bestFit="1" customWidth="1"/>
    <col min="3" max="3" width="27.85546875" bestFit="1" customWidth="1"/>
    <col min="4" max="4" width="9.42578125" bestFit="1" customWidth="1"/>
  </cols>
  <sheetData>
    <row r="1" spans="1:6" ht="12.75" customHeight="1">
      <c r="A1" s="22"/>
      <c r="B1" s="22"/>
      <c r="C1" s="19" t="s">
        <v>5</v>
      </c>
      <c r="D1" s="19"/>
      <c r="E1" s="19"/>
      <c r="F1" s="19"/>
    </row>
    <row r="2" spans="1:6">
      <c r="A2" s="22"/>
      <c r="B2" s="22"/>
      <c r="C2" s="19" t="s">
        <v>136</v>
      </c>
      <c r="D2" s="19"/>
      <c r="E2" s="19"/>
      <c r="F2" s="19"/>
    </row>
    <row r="3" spans="1:6">
      <c r="A3" s="22"/>
      <c r="B3" s="22"/>
      <c r="C3" s="19" t="s">
        <v>159</v>
      </c>
      <c r="D3" s="19"/>
      <c r="E3" s="19"/>
      <c r="F3" s="19"/>
    </row>
    <row r="4" spans="1:6">
      <c r="A4" s="22"/>
      <c r="B4" s="22"/>
      <c r="C4" s="8" t="s">
        <v>123</v>
      </c>
      <c r="D4" s="8"/>
      <c r="E4" s="8"/>
      <c r="F4" s="8"/>
    </row>
    <row r="5" spans="1:6">
      <c r="A5" s="22"/>
      <c r="B5" s="22"/>
      <c r="C5" s="8" t="s">
        <v>158</v>
      </c>
      <c r="D5" s="8"/>
      <c r="E5" s="8"/>
      <c r="F5" s="8"/>
    </row>
    <row r="6" spans="1:6">
      <c r="A6" s="22"/>
      <c r="B6" s="22"/>
      <c r="C6" s="8" t="s">
        <v>199</v>
      </c>
      <c r="D6" s="8"/>
      <c r="E6" s="8"/>
      <c r="F6" s="8"/>
    </row>
    <row r="7" spans="1:6">
      <c r="A7" s="22"/>
      <c r="B7" s="22"/>
      <c r="C7" s="8" t="s">
        <v>201</v>
      </c>
      <c r="D7" s="8"/>
      <c r="E7" s="8"/>
      <c r="F7" s="8"/>
    </row>
    <row r="8" spans="1:6">
      <c r="A8" s="22"/>
      <c r="B8" s="22"/>
    </row>
    <row r="9" spans="1:6">
      <c r="A9" s="86" t="s">
        <v>137</v>
      </c>
      <c r="B9" s="86"/>
      <c r="C9" s="86"/>
    </row>
    <row r="10" spans="1:6">
      <c r="A10" s="22"/>
      <c r="B10" s="22"/>
      <c r="C10" s="45" t="s">
        <v>120</v>
      </c>
    </row>
    <row r="11" spans="1:6">
      <c r="A11" s="83" t="s">
        <v>31</v>
      </c>
      <c r="B11" s="83" t="s">
        <v>90</v>
      </c>
      <c r="C11" s="83" t="s">
        <v>122</v>
      </c>
    </row>
    <row r="12" spans="1:6">
      <c r="A12" s="84"/>
      <c r="B12" s="84"/>
      <c r="C12" s="84"/>
    </row>
    <row r="13" spans="1:6">
      <c r="A13" s="85"/>
      <c r="B13" s="85"/>
      <c r="C13" s="85"/>
    </row>
    <row r="14" spans="1:6">
      <c r="A14" s="41" t="s">
        <v>73</v>
      </c>
      <c r="B14" s="41" t="s">
        <v>74</v>
      </c>
      <c r="C14" s="41">
        <f>C15+C17+C23</f>
        <v>16141400</v>
      </c>
    </row>
    <row r="15" spans="1:6">
      <c r="A15" s="41" t="s">
        <v>32</v>
      </c>
      <c r="B15" s="41" t="s">
        <v>166</v>
      </c>
      <c r="C15" s="41">
        <f>SUM(C16:C16)</f>
        <v>15344400</v>
      </c>
    </row>
    <row r="16" spans="1:6">
      <c r="A16" s="25" t="s">
        <v>75</v>
      </c>
      <c r="B16" s="25" t="s">
        <v>167</v>
      </c>
      <c r="C16" s="25">
        <f>14760000+570100+11800+2500</f>
        <v>15344400</v>
      </c>
    </row>
    <row r="17" spans="1:3">
      <c r="A17" s="41" t="s">
        <v>33</v>
      </c>
      <c r="B17" s="41" t="s">
        <v>106</v>
      </c>
      <c r="C17" s="41">
        <f>SUM(C18+C21+C22)</f>
        <v>767000</v>
      </c>
    </row>
    <row r="18" spans="1:3">
      <c r="A18" s="25" t="s">
        <v>78</v>
      </c>
      <c r="B18" s="25" t="s">
        <v>163</v>
      </c>
      <c r="C18" s="25">
        <v>430000</v>
      </c>
    </row>
    <row r="19" spans="1:3">
      <c r="A19" s="25" t="s">
        <v>99</v>
      </c>
      <c r="B19" s="25" t="s">
        <v>164</v>
      </c>
      <c r="C19" s="25">
        <v>400000</v>
      </c>
    </row>
    <row r="20" spans="1:3">
      <c r="A20" s="25" t="s">
        <v>100</v>
      </c>
      <c r="B20" s="25" t="s">
        <v>165</v>
      </c>
      <c r="C20" s="25">
        <v>30000</v>
      </c>
    </row>
    <row r="21" spans="1:3">
      <c r="A21" s="25" t="s">
        <v>79</v>
      </c>
      <c r="B21" s="25" t="s">
        <v>161</v>
      </c>
      <c r="C21" s="25">
        <v>7000</v>
      </c>
    </row>
    <row r="22" spans="1:3">
      <c r="A22" s="25" t="s">
        <v>80</v>
      </c>
      <c r="B22" s="25" t="s">
        <v>162</v>
      </c>
      <c r="C22" s="25">
        <v>330000</v>
      </c>
    </row>
    <row r="23" spans="1:3">
      <c r="A23" s="41" t="s">
        <v>34</v>
      </c>
      <c r="B23" s="41" t="s">
        <v>193</v>
      </c>
      <c r="C23" s="41">
        <f>C24</f>
        <v>30000</v>
      </c>
    </row>
    <row r="24" spans="1:3">
      <c r="A24" s="25" t="s">
        <v>81</v>
      </c>
      <c r="B24" s="25" t="s">
        <v>168</v>
      </c>
      <c r="C24" s="25">
        <v>30000</v>
      </c>
    </row>
    <row r="25" spans="1:3">
      <c r="A25" s="41" t="s">
        <v>84</v>
      </c>
      <c r="B25" s="41" t="s">
        <v>169</v>
      </c>
      <c r="C25" s="41">
        <f>C28+C27+C26</f>
        <v>13337400</v>
      </c>
    </row>
    <row r="26" spans="1:3">
      <c r="A26" s="25" t="s">
        <v>75</v>
      </c>
      <c r="B26" s="42" t="s">
        <v>170</v>
      </c>
      <c r="C26" s="25">
        <f>3002500+120700</f>
        <v>3123200</v>
      </c>
    </row>
    <row r="27" spans="1:3">
      <c r="A27" s="25" t="s">
        <v>76</v>
      </c>
      <c r="B27" s="42" t="s">
        <v>171</v>
      </c>
      <c r="C27" s="25">
        <v>7614100</v>
      </c>
    </row>
    <row r="28" spans="1:3">
      <c r="A28" s="25" t="s">
        <v>77</v>
      </c>
      <c r="B28" s="42" t="s">
        <v>172</v>
      </c>
      <c r="C28" s="25">
        <f>295600+159300+1552700+7100+108300+3900+19900+369200+84100</f>
        <v>2600100</v>
      </c>
    </row>
    <row r="29" spans="1:3">
      <c r="A29" s="41" t="s">
        <v>85</v>
      </c>
      <c r="B29" s="43" t="s">
        <v>173</v>
      </c>
      <c r="C29" s="41">
        <f>8400+19000+45000+93100+74700+291900+87100</f>
        <v>619200</v>
      </c>
    </row>
    <row r="30" spans="1:3">
      <c r="A30" s="41" t="s">
        <v>87</v>
      </c>
      <c r="B30" s="43" t="s">
        <v>174</v>
      </c>
      <c r="C30" s="41">
        <f>C49+C46+C45+C44+C41+C37+C34+G46+C33+C32+C31</f>
        <v>3317500</v>
      </c>
    </row>
    <row r="31" spans="1:3">
      <c r="A31" s="24" t="s">
        <v>32</v>
      </c>
      <c r="B31" s="43" t="s">
        <v>175</v>
      </c>
      <c r="C31" s="41">
        <v>3000</v>
      </c>
    </row>
    <row r="32" spans="1:3">
      <c r="A32" s="24" t="s">
        <v>33</v>
      </c>
      <c r="B32" s="43" t="s">
        <v>138</v>
      </c>
      <c r="C32" s="41">
        <v>1000</v>
      </c>
    </row>
    <row r="33" spans="1:3">
      <c r="A33" s="25" t="s">
        <v>34</v>
      </c>
      <c r="B33" s="43" t="s">
        <v>176</v>
      </c>
      <c r="C33" s="41">
        <v>90000</v>
      </c>
    </row>
    <row r="34" spans="1:3">
      <c r="A34" s="25" t="s">
        <v>35</v>
      </c>
      <c r="B34" s="43" t="s">
        <v>177</v>
      </c>
      <c r="C34" s="25">
        <f>SUM(C35:C36)</f>
        <v>110000</v>
      </c>
    </row>
    <row r="35" spans="1:3">
      <c r="A35" s="25" t="s">
        <v>124</v>
      </c>
      <c r="B35" s="42" t="s">
        <v>177</v>
      </c>
      <c r="C35" s="25">
        <v>100000</v>
      </c>
    </row>
    <row r="36" spans="1:3">
      <c r="A36" s="25" t="s">
        <v>132</v>
      </c>
      <c r="B36" s="42" t="s">
        <v>178</v>
      </c>
      <c r="C36" s="25">
        <v>10000</v>
      </c>
    </row>
    <row r="37" spans="1:3">
      <c r="A37" s="41" t="s">
        <v>36</v>
      </c>
      <c r="B37" s="43" t="s">
        <v>179</v>
      </c>
      <c r="C37" s="41">
        <f>C40+C39+C38</f>
        <v>1611600</v>
      </c>
    </row>
    <row r="38" spans="1:3">
      <c r="A38" s="25" t="s">
        <v>134</v>
      </c>
      <c r="B38" s="25" t="s">
        <v>180</v>
      </c>
      <c r="C38" s="25">
        <f>118100+10000+8600</f>
        <v>136700</v>
      </c>
    </row>
    <row r="39" spans="1:3">
      <c r="A39" s="25" t="s">
        <v>145</v>
      </c>
      <c r="B39" s="25" t="s">
        <v>181</v>
      </c>
      <c r="C39" s="25">
        <v>97600</v>
      </c>
    </row>
    <row r="40" spans="1:3">
      <c r="A40" s="25" t="s">
        <v>190</v>
      </c>
      <c r="B40" s="25" t="s">
        <v>182</v>
      </c>
      <c r="C40" s="25">
        <v>1377300</v>
      </c>
    </row>
    <row r="41" spans="1:3">
      <c r="A41" s="41" t="s">
        <v>37</v>
      </c>
      <c r="B41" s="41" t="s">
        <v>183</v>
      </c>
      <c r="C41" s="41">
        <f>SUM(C42:C43)</f>
        <v>981000</v>
      </c>
    </row>
    <row r="42" spans="1:3">
      <c r="A42" s="25" t="s">
        <v>146</v>
      </c>
      <c r="B42" s="25" t="s">
        <v>184</v>
      </c>
      <c r="C42" s="25">
        <v>31000</v>
      </c>
    </row>
    <row r="43" spans="1:3">
      <c r="A43" s="25" t="s">
        <v>147</v>
      </c>
      <c r="B43" s="25" t="s">
        <v>185</v>
      </c>
      <c r="C43" s="25">
        <v>950000</v>
      </c>
    </row>
    <row r="44" spans="1:3">
      <c r="A44" s="41" t="s">
        <v>38</v>
      </c>
      <c r="B44" s="41" t="s">
        <v>186</v>
      </c>
      <c r="C44" s="41">
        <v>3000</v>
      </c>
    </row>
    <row r="45" spans="1:3">
      <c r="A45" s="41" t="s">
        <v>39</v>
      </c>
      <c r="B45" s="41" t="s">
        <v>86</v>
      </c>
      <c r="C45" s="41">
        <f>40000</f>
        <v>40000</v>
      </c>
    </row>
    <row r="46" spans="1:3">
      <c r="A46" s="41" t="s">
        <v>40</v>
      </c>
      <c r="B46" s="41" t="s">
        <v>187</v>
      </c>
      <c r="C46" s="41">
        <f>C48+C47</f>
        <v>60000</v>
      </c>
    </row>
    <row r="47" spans="1:3">
      <c r="A47" s="25" t="s">
        <v>191</v>
      </c>
      <c r="B47" s="25" t="s">
        <v>188</v>
      </c>
      <c r="C47" s="25">
        <v>10000</v>
      </c>
    </row>
    <row r="48" spans="1:3">
      <c r="A48" s="25" t="s">
        <v>192</v>
      </c>
      <c r="B48" s="25" t="s">
        <v>189</v>
      </c>
      <c r="C48" s="25">
        <v>50000</v>
      </c>
    </row>
    <row r="49" spans="1:4">
      <c r="A49" s="41" t="s">
        <v>41</v>
      </c>
      <c r="B49" s="41" t="s">
        <v>160</v>
      </c>
      <c r="C49" s="41">
        <f>14000+378900+17000+8000</f>
        <v>417900</v>
      </c>
    </row>
    <row r="50" spans="1:4">
      <c r="A50" s="41" t="s">
        <v>116</v>
      </c>
      <c r="B50" s="41" t="s">
        <v>88</v>
      </c>
      <c r="C50" s="41">
        <f>C30+C29+C25+C14</f>
        <v>33415500</v>
      </c>
    </row>
    <row r="51" spans="1:4">
      <c r="A51" s="41" t="s">
        <v>194</v>
      </c>
      <c r="B51" s="41" t="s">
        <v>130</v>
      </c>
      <c r="C51" s="41">
        <f>200000+498500-1100+82400</f>
        <v>779800</v>
      </c>
    </row>
    <row r="52" spans="1:4">
      <c r="A52" s="41" t="s">
        <v>197</v>
      </c>
      <c r="B52" s="41" t="s">
        <v>198</v>
      </c>
      <c r="C52" s="41">
        <f>38800+117900+2600</f>
        <v>159300</v>
      </c>
    </row>
    <row r="53" spans="1:4">
      <c r="A53" s="87" t="s">
        <v>89</v>
      </c>
      <c r="B53" s="87"/>
      <c r="C53" s="87"/>
    </row>
    <row r="54" spans="1:4">
      <c r="A54" s="22"/>
      <c r="B54" s="22"/>
      <c r="D54" s="22"/>
    </row>
    <row r="55" spans="1:4">
      <c r="A55" s="22"/>
      <c r="B55" s="22"/>
    </row>
    <row r="56" spans="1:4">
      <c r="A56" s="22"/>
      <c r="B56" s="22"/>
    </row>
    <row r="57" spans="1:4">
      <c r="A57" s="22"/>
      <c r="B57" s="22"/>
    </row>
    <row r="58" spans="1:4">
      <c r="A58" s="22"/>
      <c r="B58" s="22"/>
    </row>
    <row r="59" spans="1:4">
      <c r="A59" s="22"/>
      <c r="B59" s="22"/>
    </row>
    <row r="60" spans="1:4">
      <c r="A60" s="22"/>
      <c r="B60" s="22"/>
    </row>
    <row r="61" spans="1:4">
      <c r="A61" s="22"/>
      <c r="B61" s="22"/>
    </row>
    <row r="62" spans="1:4">
      <c r="A62" s="22"/>
      <c r="B62" s="22"/>
    </row>
    <row r="63" spans="1:4">
      <c r="A63" s="22"/>
      <c r="B63" s="22"/>
    </row>
    <row r="64" spans="1:4">
      <c r="A64" s="22"/>
      <c r="B64" s="22"/>
    </row>
    <row r="65" spans="1:2">
      <c r="A65" s="22"/>
      <c r="B65" s="22"/>
    </row>
    <row r="66" spans="1:2">
      <c r="A66" s="22"/>
      <c r="B66" s="22"/>
    </row>
    <row r="67" spans="1:2">
      <c r="A67" s="22"/>
      <c r="B67" s="22"/>
    </row>
    <row r="68" spans="1:2">
      <c r="A68" s="22"/>
      <c r="B68" s="22"/>
    </row>
    <row r="69" spans="1:2">
      <c r="A69" s="22"/>
      <c r="B69" s="22"/>
    </row>
    <row r="70" spans="1:2">
      <c r="A70" s="22"/>
      <c r="B70" s="22"/>
    </row>
    <row r="71" spans="1:2">
      <c r="A71" s="22"/>
      <c r="B71" s="22"/>
    </row>
    <row r="72" spans="1:2">
      <c r="A72" s="22"/>
      <c r="B72" s="22"/>
    </row>
    <row r="73" spans="1:2">
      <c r="A73" s="22"/>
      <c r="B73" s="22"/>
    </row>
    <row r="74" spans="1:2">
      <c r="A74" s="22"/>
      <c r="B74" s="22"/>
    </row>
    <row r="75" spans="1:2">
      <c r="A75" s="22"/>
      <c r="B75" s="22"/>
    </row>
    <row r="76" spans="1:2">
      <c r="A76" s="22"/>
      <c r="B76" s="22"/>
    </row>
    <row r="77" spans="1:2">
      <c r="A77" s="22"/>
      <c r="B77" s="22"/>
    </row>
    <row r="78" spans="1:2">
      <c r="A78" s="22"/>
      <c r="B78" s="22"/>
    </row>
    <row r="79" spans="1:2">
      <c r="A79" s="22"/>
      <c r="B79" s="22"/>
    </row>
    <row r="80" spans="1:2">
      <c r="A80" s="22"/>
      <c r="B80" s="22"/>
    </row>
    <row r="81" spans="1:2">
      <c r="A81" s="22"/>
      <c r="B81" s="22"/>
    </row>
    <row r="82" spans="1:2">
      <c r="A82" s="22"/>
      <c r="B82" s="22"/>
    </row>
    <row r="83" spans="1:2">
      <c r="A83" s="22"/>
      <c r="B83" s="22"/>
    </row>
    <row r="84" spans="1:2">
      <c r="A84" s="22"/>
      <c r="B84" s="22"/>
    </row>
    <row r="85" spans="1:2">
      <c r="A85" s="22"/>
      <c r="B85" s="22"/>
    </row>
    <row r="86" spans="1:2">
      <c r="A86" s="22"/>
      <c r="B86" s="22"/>
    </row>
    <row r="87" spans="1:2">
      <c r="A87" s="22"/>
      <c r="B87" s="22"/>
    </row>
    <row r="88" spans="1:2">
      <c r="A88" s="22"/>
      <c r="B88" s="22"/>
    </row>
    <row r="89" spans="1:2">
      <c r="A89" s="22"/>
      <c r="B89" s="22"/>
    </row>
    <row r="90" spans="1:2">
      <c r="A90" s="22"/>
      <c r="B90" s="22"/>
    </row>
    <row r="91" spans="1:2">
      <c r="A91" s="22"/>
      <c r="B91" s="22"/>
    </row>
    <row r="92" spans="1:2">
      <c r="A92" s="22"/>
      <c r="B92" s="22"/>
    </row>
    <row r="93" spans="1:2">
      <c r="A93" s="22"/>
      <c r="B93" s="22"/>
    </row>
    <row r="94" spans="1:2">
      <c r="A94" s="22"/>
      <c r="B94" s="22"/>
    </row>
    <row r="95" spans="1:2">
      <c r="A95" s="22"/>
      <c r="B95" s="22"/>
    </row>
    <row r="96" spans="1:2">
      <c r="A96" s="22"/>
      <c r="B96" s="22"/>
    </row>
    <row r="97" spans="1:2">
      <c r="A97" s="22"/>
      <c r="B97" s="22"/>
    </row>
    <row r="98" spans="1:2">
      <c r="A98" s="22"/>
      <c r="B98" s="22"/>
    </row>
    <row r="99" spans="1:2">
      <c r="A99" s="22"/>
      <c r="B99" s="22"/>
    </row>
    <row r="100" spans="1:2">
      <c r="A100" s="22"/>
      <c r="B100" s="22"/>
    </row>
    <row r="101" spans="1:2">
      <c r="A101" s="22"/>
      <c r="B101" s="22"/>
    </row>
    <row r="102" spans="1:2">
      <c r="A102" s="22"/>
      <c r="B102" s="22"/>
    </row>
    <row r="103" spans="1:2">
      <c r="A103" s="22"/>
      <c r="B103" s="22"/>
    </row>
    <row r="104" spans="1:2">
      <c r="A104" s="22"/>
      <c r="B104" s="22"/>
    </row>
    <row r="105" spans="1:2">
      <c r="A105" s="22"/>
      <c r="B105" s="22"/>
    </row>
    <row r="106" spans="1:2">
      <c r="A106" s="22"/>
      <c r="B106" s="22"/>
    </row>
    <row r="107" spans="1:2">
      <c r="A107" s="22"/>
      <c r="B107" s="22"/>
    </row>
    <row r="108" spans="1:2">
      <c r="A108" s="22"/>
      <c r="B108" s="22"/>
    </row>
    <row r="109" spans="1:2">
      <c r="A109" s="22"/>
      <c r="B109" s="22"/>
    </row>
    <row r="110" spans="1:2">
      <c r="A110" s="22"/>
      <c r="B110" s="22"/>
    </row>
    <row r="111" spans="1:2">
      <c r="A111" s="22"/>
      <c r="B111" s="22"/>
    </row>
    <row r="112" spans="1:2">
      <c r="A112" s="22"/>
      <c r="B112" s="22"/>
    </row>
    <row r="113" spans="1:2">
      <c r="A113" s="22"/>
      <c r="B113" s="22"/>
    </row>
    <row r="114" spans="1:2">
      <c r="A114" s="22"/>
      <c r="B114" s="22"/>
    </row>
    <row r="115" spans="1:2">
      <c r="A115" s="22"/>
      <c r="B115" s="22"/>
    </row>
    <row r="116" spans="1:2">
      <c r="A116" s="22"/>
      <c r="B116" s="22"/>
    </row>
    <row r="117" spans="1:2">
      <c r="A117" s="22"/>
      <c r="B117" s="22"/>
    </row>
  </sheetData>
  <mergeCells count="5">
    <mergeCell ref="C11:C13"/>
    <mergeCell ref="B11:B13"/>
    <mergeCell ref="A11:A13"/>
    <mergeCell ref="A9:C9"/>
    <mergeCell ref="A53:C53"/>
  </mergeCells>
  <phoneticPr fontId="4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3"/>
  <sheetViews>
    <sheetView zoomScale="135" zoomScaleNormal="135" workbookViewId="0">
      <selection activeCell="D7" sqref="D7:F7"/>
    </sheetView>
  </sheetViews>
  <sheetFormatPr defaultRowHeight="12.75"/>
  <cols>
    <col min="1" max="1" width="6.7109375" bestFit="1" customWidth="1"/>
    <col min="2" max="2" width="43.140625" bestFit="1" customWidth="1"/>
    <col min="3" max="4" width="9" bestFit="1" customWidth="1"/>
    <col min="5" max="5" width="11.140625" bestFit="1" customWidth="1"/>
    <col min="6" max="6" width="10.5703125" customWidth="1"/>
  </cols>
  <sheetData>
    <row r="1" spans="1:7">
      <c r="A1" s="3"/>
      <c r="B1" s="3"/>
      <c r="C1" s="19"/>
      <c r="D1" s="88" t="s">
        <v>5</v>
      </c>
      <c r="E1" s="88"/>
      <c r="F1" s="88"/>
    </row>
    <row r="2" spans="1:7">
      <c r="A2" s="3"/>
      <c r="B2" s="3"/>
      <c r="C2" s="19"/>
      <c r="D2" s="88" t="s">
        <v>136</v>
      </c>
      <c r="E2" s="88"/>
      <c r="F2" s="88"/>
      <c r="G2" s="19"/>
    </row>
    <row r="3" spans="1:7">
      <c r="A3" s="1"/>
      <c r="B3" s="3"/>
      <c r="C3" s="19"/>
      <c r="D3" s="88" t="s">
        <v>159</v>
      </c>
      <c r="E3" s="88"/>
      <c r="F3" s="88"/>
    </row>
    <row r="4" spans="1:7">
      <c r="A4" s="1"/>
      <c r="B4" s="8"/>
      <c r="C4" s="8"/>
      <c r="D4" s="89" t="s">
        <v>125</v>
      </c>
      <c r="E4" s="89"/>
      <c r="F4" s="89"/>
    </row>
    <row r="5" spans="1:7">
      <c r="A5" s="1"/>
      <c r="B5" s="8"/>
      <c r="C5" s="8"/>
      <c r="D5" s="8" t="s">
        <v>158</v>
      </c>
      <c r="E5" s="8"/>
      <c r="F5" s="8"/>
    </row>
    <row r="6" spans="1:7">
      <c r="A6" s="1"/>
      <c r="B6" s="8"/>
      <c r="C6" s="8"/>
      <c r="D6" s="8" t="s">
        <v>199</v>
      </c>
      <c r="E6" s="8"/>
      <c r="F6" s="8"/>
    </row>
    <row r="7" spans="1:7">
      <c r="A7" s="1"/>
      <c r="B7" s="8"/>
      <c r="C7" s="8"/>
      <c r="D7" s="89" t="s">
        <v>201</v>
      </c>
      <c r="E7" s="89"/>
      <c r="F7" s="89"/>
    </row>
    <row r="8" spans="1:7">
      <c r="A8" s="1"/>
      <c r="B8" s="8"/>
      <c r="C8" s="8"/>
      <c r="D8" s="50"/>
      <c r="E8" s="50"/>
      <c r="F8" s="50"/>
    </row>
    <row r="9" spans="1:7" ht="28.15" customHeight="1">
      <c r="A9" s="91" t="s">
        <v>140</v>
      </c>
      <c r="B9" s="91"/>
      <c r="C9" s="91"/>
      <c r="D9" s="91"/>
      <c r="E9" s="91"/>
      <c r="F9" s="91"/>
      <c r="G9" s="18"/>
    </row>
    <row r="10" spans="1:7">
      <c r="A10" s="1"/>
      <c r="B10" s="3"/>
      <c r="C10" s="93" t="s">
        <v>120</v>
      </c>
      <c r="D10" s="93"/>
      <c r="E10" s="93"/>
      <c r="F10" s="93"/>
    </row>
    <row r="11" spans="1:7">
      <c r="A11" s="94" t="s">
        <v>0</v>
      </c>
      <c r="B11" s="94" t="s">
        <v>64</v>
      </c>
      <c r="C11" s="97" t="s">
        <v>69</v>
      </c>
      <c r="D11" s="98"/>
      <c r="E11" s="98"/>
      <c r="F11" s="99"/>
    </row>
    <row r="12" spans="1:7">
      <c r="A12" s="95"/>
      <c r="B12" s="96"/>
      <c r="C12" s="94" t="s">
        <v>2</v>
      </c>
      <c r="D12" s="101" t="s">
        <v>3</v>
      </c>
      <c r="E12" s="101"/>
      <c r="F12" s="102"/>
    </row>
    <row r="13" spans="1:7">
      <c r="A13" s="95"/>
      <c r="B13" s="96"/>
      <c r="C13" s="95"/>
      <c r="D13" s="103" t="s">
        <v>67</v>
      </c>
      <c r="E13" s="103"/>
      <c r="F13" s="94" t="s">
        <v>19</v>
      </c>
    </row>
    <row r="14" spans="1:7" ht="28.15" customHeight="1">
      <c r="A14" s="95"/>
      <c r="B14" s="96"/>
      <c r="C14" s="100"/>
      <c r="D14" s="33" t="s">
        <v>68</v>
      </c>
      <c r="E14" s="35" t="s">
        <v>6</v>
      </c>
      <c r="F14" s="100"/>
    </row>
    <row r="15" spans="1:7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</row>
    <row r="16" spans="1:7">
      <c r="A16" s="62" t="s">
        <v>32</v>
      </c>
      <c r="B16" s="63" t="s">
        <v>10</v>
      </c>
      <c r="C16" s="64">
        <f>1175500+16300+1800+700+8400+1500</f>
        <v>1204200</v>
      </c>
      <c r="D16" s="65">
        <f>C16-F16</f>
        <v>1183600</v>
      </c>
      <c r="E16" s="65">
        <f>1026600+3000+1500-6500</f>
        <v>1024600</v>
      </c>
      <c r="F16" s="65">
        <f>12200+8400</f>
        <v>20600</v>
      </c>
    </row>
    <row r="17" spans="1:10">
      <c r="A17" s="62" t="s">
        <v>33</v>
      </c>
      <c r="B17" s="63" t="s">
        <v>110</v>
      </c>
      <c r="C17" s="64">
        <f>848900+1100+500+700+5000+2800+200</f>
        <v>859200</v>
      </c>
      <c r="D17" s="65">
        <f t="shared" ref="D17:D50" si="0">C17-F17</f>
        <v>852800</v>
      </c>
      <c r="E17" s="65">
        <f>710300+1100+300+200</f>
        <v>711900</v>
      </c>
      <c r="F17" s="65">
        <f>1700+4700</f>
        <v>6400</v>
      </c>
      <c r="J17" s="22"/>
    </row>
    <row r="18" spans="1:10">
      <c r="A18" s="66" t="s">
        <v>34</v>
      </c>
      <c r="B18" s="63" t="s">
        <v>117</v>
      </c>
      <c r="C18" s="67">
        <f>948400+1100+200+700+1400+100</f>
        <v>951900</v>
      </c>
      <c r="D18" s="65">
        <f t="shared" si="0"/>
        <v>950400</v>
      </c>
      <c r="E18" s="68">
        <f>808600+1100+200-2100</f>
        <v>807800</v>
      </c>
      <c r="F18" s="68">
        <v>1500</v>
      </c>
    </row>
    <row r="19" spans="1:10">
      <c r="A19" s="66" t="s">
        <v>35</v>
      </c>
      <c r="B19" s="63" t="s">
        <v>111</v>
      </c>
      <c r="C19" s="67">
        <f>1167200+1700+300+700+6000+4100+200</f>
        <v>1180200</v>
      </c>
      <c r="D19" s="65">
        <f t="shared" si="0"/>
        <v>1169400</v>
      </c>
      <c r="E19" s="68">
        <f>966700+1700+300-6800</f>
        <v>961900</v>
      </c>
      <c r="F19" s="68">
        <f>3500+5000+2300</f>
        <v>10800</v>
      </c>
    </row>
    <row r="20" spans="1:10">
      <c r="A20" s="66" t="s">
        <v>36</v>
      </c>
      <c r="B20" s="63" t="s">
        <v>118</v>
      </c>
      <c r="C20" s="68">
        <f>1853800+9700-1100+800+900+27500+9100+7600</f>
        <v>1908300</v>
      </c>
      <c r="D20" s="65">
        <f t="shared" si="0"/>
        <v>1878200</v>
      </c>
      <c r="E20" s="68">
        <f>1563100+8500-12100</f>
        <v>1559500</v>
      </c>
      <c r="F20" s="68">
        <f>10900+19200</f>
        <v>30100</v>
      </c>
    </row>
    <row r="21" spans="1:10">
      <c r="A21" s="66" t="s">
        <v>37</v>
      </c>
      <c r="B21" s="63" t="s">
        <v>155</v>
      </c>
      <c r="C21" s="67">
        <f>1361900+1500+2200+800+13300+3300+6000</f>
        <v>1389000</v>
      </c>
      <c r="D21" s="65">
        <f t="shared" si="0"/>
        <v>1375700</v>
      </c>
      <c r="E21" s="68">
        <f>1174900+1500+1000</f>
        <v>1177400</v>
      </c>
      <c r="F21" s="68">
        <f>0+13300</f>
        <v>13300</v>
      </c>
    </row>
    <row r="22" spans="1:10">
      <c r="A22" s="66" t="s">
        <v>38</v>
      </c>
      <c r="B22" s="63" t="s">
        <v>115</v>
      </c>
      <c r="C22" s="67">
        <f>706100+600+14300+900+20000+2900+400</f>
        <v>745200</v>
      </c>
      <c r="D22" s="65">
        <f t="shared" si="0"/>
        <v>732600</v>
      </c>
      <c r="E22" s="68">
        <f>588600+600+400</f>
        <v>589600</v>
      </c>
      <c r="F22" s="68">
        <f>800+12000-200</f>
        <v>12600</v>
      </c>
    </row>
    <row r="23" spans="1:10">
      <c r="A23" s="66" t="s">
        <v>39</v>
      </c>
      <c r="B23" s="63" t="s">
        <v>11</v>
      </c>
      <c r="C23" s="67">
        <f>697700+9200+800+700+1700+200</f>
        <v>710300</v>
      </c>
      <c r="D23" s="65">
        <f t="shared" si="0"/>
        <v>706300</v>
      </c>
      <c r="E23" s="68">
        <f>588800+9100+200</f>
        <v>598100</v>
      </c>
      <c r="F23" s="68">
        <v>4000</v>
      </c>
    </row>
    <row r="24" spans="1:10">
      <c r="A24" s="66" t="s">
        <v>40</v>
      </c>
      <c r="B24" s="63" t="s">
        <v>112</v>
      </c>
      <c r="C24" s="67">
        <f>486900+400+900+900</f>
        <v>489100</v>
      </c>
      <c r="D24" s="65">
        <f t="shared" si="0"/>
        <v>489100</v>
      </c>
      <c r="E24" s="68">
        <f>401900+400</f>
        <v>402300</v>
      </c>
      <c r="F24" s="68"/>
    </row>
    <row r="25" spans="1:10">
      <c r="A25" s="66" t="s">
        <v>41</v>
      </c>
      <c r="B25" s="63" t="s">
        <v>113</v>
      </c>
      <c r="C25" s="67">
        <f>701600+10900+12100+700+2000</f>
        <v>727300</v>
      </c>
      <c r="D25" s="65">
        <f t="shared" si="0"/>
        <v>713300</v>
      </c>
      <c r="E25" s="68">
        <f>596900+8500</f>
        <v>605400</v>
      </c>
      <c r="F25" s="68">
        <f>2000+12000</f>
        <v>14000</v>
      </c>
    </row>
    <row r="26" spans="1:10">
      <c r="A26" s="66" t="s">
        <v>42</v>
      </c>
      <c r="B26" s="63" t="s">
        <v>119</v>
      </c>
      <c r="C26" s="68">
        <f>387400+600+500</f>
        <v>388500</v>
      </c>
      <c r="D26" s="65">
        <f t="shared" si="0"/>
        <v>388500</v>
      </c>
      <c r="E26" s="68">
        <v>338600</v>
      </c>
      <c r="F26" s="68"/>
    </row>
    <row r="27" spans="1:10">
      <c r="A27" s="66" t="s">
        <v>43</v>
      </c>
      <c r="B27" s="63" t="s">
        <v>12</v>
      </c>
      <c r="C27" s="64">
        <f>576100+8700+400</f>
        <v>585200</v>
      </c>
      <c r="D27" s="65">
        <f t="shared" si="0"/>
        <v>583200</v>
      </c>
      <c r="E27" s="65">
        <f>444100+8600</f>
        <v>452700</v>
      </c>
      <c r="F27" s="65">
        <v>2000</v>
      </c>
    </row>
    <row r="28" spans="1:10">
      <c r="A28" s="66" t="s">
        <v>44</v>
      </c>
      <c r="B28" s="63" t="s">
        <v>13</v>
      </c>
      <c r="C28" s="64">
        <f>829600+100</f>
        <v>829700</v>
      </c>
      <c r="D28" s="65">
        <f t="shared" si="0"/>
        <v>820700</v>
      </c>
      <c r="E28" s="65">
        <v>679300</v>
      </c>
      <c r="F28" s="65">
        <v>9000</v>
      </c>
    </row>
    <row r="29" spans="1:10">
      <c r="A29" s="66" t="s">
        <v>45</v>
      </c>
      <c r="B29" s="63" t="s">
        <v>66</v>
      </c>
      <c r="C29" s="64">
        <f>538900+300</f>
        <v>539200</v>
      </c>
      <c r="D29" s="65">
        <f t="shared" si="0"/>
        <v>539200</v>
      </c>
      <c r="E29" s="65">
        <v>425500</v>
      </c>
      <c r="F29" s="65"/>
    </row>
    <row r="30" spans="1:10">
      <c r="A30" s="66" t="s">
        <v>46</v>
      </c>
      <c r="B30" s="63" t="s">
        <v>114</v>
      </c>
      <c r="C30" s="67">
        <f>183700-71700</f>
        <v>112000</v>
      </c>
      <c r="D30" s="65">
        <f t="shared" si="0"/>
        <v>112000</v>
      </c>
      <c r="E30" s="68">
        <f>175600-68300</f>
        <v>107300</v>
      </c>
      <c r="F30" s="68"/>
    </row>
    <row r="31" spans="1:10">
      <c r="A31" s="66" t="s">
        <v>47</v>
      </c>
      <c r="B31" s="63" t="s">
        <v>20</v>
      </c>
      <c r="C31" s="64">
        <f>439600+300+135700</f>
        <v>575600</v>
      </c>
      <c r="D31" s="65">
        <f t="shared" si="0"/>
        <v>570600</v>
      </c>
      <c r="E31" s="65">
        <f>417900+127800</f>
        <v>545700</v>
      </c>
      <c r="F31" s="65">
        <v>5000</v>
      </c>
    </row>
    <row r="32" spans="1:10" ht="13.9" customHeight="1">
      <c r="A32" s="66" t="s">
        <v>48</v>
      </c>
      <c r="B32" s="63" t="s">
        <v>109</v>
      </c>
      <c r="C32" s="67">
        <f>205900+200-64000</f>
        <v>142100</v>
      </c>
      <c r="D32" s="65">
        <f t="shared" si="0"/>
        <v>142100</v>
      </c>
      <c r="E32" s="68">
        <f>191300-67700</f>
        <v>123600</v>
      </c>
      <c r="F32" s="68"/>
    </row>
    <row r="33" spans="1:11">
      <c r="A33" s="66" t="s">
        <v>49</v>
      </c>
      <c r="B33" s="63" t="s">
        <v>25</v>
      </c>
      <c r="C33" s="67">
        <f>562600+200+1400+7100</f>
        <v>571300</v>
      </c>
      <c r="D33" s="65">
        <f t="shared" si="0"/>
        <v>564200</v>
      </c>
      <c r="E33" s="68">
        <f>377400-3900</f>
        <v>373500</v>
      </c>
      <c r="F33" s="68">
        <f>0+7100</f>
        <v>7100</v>
      </c>
    </row>
    <row r="34" spans="1:11">
      <c r="A34" s="66" t="s">
        <v>50</v>
      </c>
      <c r="B34" s="63" t="s">
        <v>127</v>
      </c>
      <c r="C34" s="68">
        <f>203500+100+8600</f>
        <v>212200</v>
      </c>
      <c r="D34" s="65">
        <f t="shared" si="0"/>
        <v>212200</v>
      </c>
      <c r="E34" s="68">
        <v>176300</v>
      </c>
      <c r="F34" s="68"/>
    </row>
    <row r="35" spans="1:11">
      <c r="A35" s="66" t="s">
        <v>51</v>
      </c>
      <c r="B35" s="69" t="s">
        <v>22</v>
      </c>
      <c r="C35" s="70">
        <f>215900+4200+2500</f>
        <v>222600</v>
      </c>
      <c r="D35" s="65">
        <f t="shared" si="0"/>
        <v>221100</v>
      </c>
      <c r="E35" s="71">
        <v>189700</v>
      </c>
      <c r="F35" s="71">
        <v>1500</v>
      </c>
    </row>
    <row r="36" spans="1:11" ht="13.9" customHeight="1">
      <c r="A36" s="66" t="s">
        <v>52</v>
      </c>
      <c r="B36" s="69" t="s">
        <v>108</v>
      </c>
      <c r="C36" s="70">
        <f>748900+30100+7200-8000</f>
        <v>778200</v>
      </c>
      <c r="D36" s="65">
        <f t="shared" si="0"/>
        <v>664600</v>
      </c>
      <c r="E36" s="71">
        <v>557100</v>
      </c>
      <c r="F36" s="71">
        <f>121600-8000</f>
        <v>113600</v>
      </c>
    </row>
    <row r="37" spans="1:11">
      <c r="A37" s="66" t="s">
        <v>53</v>
      </c>
      <c r="B37" s="69" t="s">
        <v>26</v>
      </c>
      <c r="C37" s="72">
        <f>488200+3900+7400+1900+8000+1200</f>
        <v>510600</v>
      </c>
      <c r="D37" s="65">
        <f t="shared" si="0"/>
        <v>503700</v>
      </c>
      <c r="E37" s="73">
        <v>374000</v>
      </c>
      <c r="F37" s="73">
        <v>6900</v>
      </c>
    </row>
    <row r="38" spans="1:11">
      <c r="A38" s="66" t="s">
        <v>54</v>
      </c>
      <c r="B38" s="69" t="s">
        <v>70</v>
      </c>
      <c r="C38" s="72">
        <f>82100+100+100</f>
        <v>82300</v>
      </c>
      <c r="D38" s="65">
        <f t="shared" si="0"/>
        <v>82300</v>
      </c>
      <c r="E38" s="73">
        <v>72500</v>
      </c>
      <c r="F38" s="73"/>
    </row>
    <row r="39" spans="1:11">
      <c r="A39" s="66" t="s">
        <v>55</v>
      </c>
      <c r="B39" s="69" t="s">
        <v>23</v>
      </c>
      <c r="C39" s="72">
        <f>76000+100</f>
        <v>76100</v>
      </c>
      <c r="D39" s="65">
        <f t="shared" si="0"/>
        <v>75800</v>
      </c>
      <c r="E39" s="73">
        <v>64600</v>
      </c>
      <c r="F39" s="73">
        <v>300</v>
      </c>
    </row>
    <row r="40" spans="1:11">
      <c r="A40" s="66" t="s">
        <v>56</v>
      </c>
      <c r="B40" s="69" t="s">
        <v>102</v>
      </c>
      <c r="C40" s="72">
        <f>78400+3500</f>
        <v>81900</v>
      </c>
      <c r="D40" s="65">
        <f t="shared" si="0"/>
        <v>81900</v>
      </c>
      <c r="E40" s="73">
        <v>65000</v>
      </c>
      <c r="F40" s="73"/>
    </row>
    <row r="41" spans="1:11">
      <c r="A41" s="66" t="s">
        <v>57</v>
      </c>
      <c r="B41" s="69" t="s">
        <v>24</v>
      </c>
      <c r="C41" s="72">
        <f>103800+800</f>
        <v>104600</v>
      </c>
      <c r="D41" s="65">
        <f t="shared" si="0"/>
        <v>104600</v>
      </c>
      <c r="E41" s="73">
        <v>70700</v>
      </c>
      <c r="F41" s="73"/>
    </row>
    <row r="42" spans="1:11">
      <c r="A42" s="66" t="s">
        <v>58</v>
      </c>
      <c r="B42" s="74" t="s">
        <v>101</v>
      </c>
      <c r="C42" s="72">
        <f>293200+1000</f>
        <v>294200</v>
      </c>
      <c r="D42" s="65">
        <f t="shared" si="0"/>
        <v>294200</v>
      </c>
      <c r="E42" s="72">
        <f>192700+200</f>
        <v>192900</v>
      </c>
      <c r="F42" s="72"/>
      <c r="K42" s="44"/>
    </row>
    <row r="43" spans="1:11">
      <c r="A43" s="66" t="s">
        <v>91</v>
      </c>
      <c r="B43" s="74" t="s">
        <v>103</v>
      </c>
      <c r="C43" s="72">
        <v>92100</v>
      </c>
      <c r="D43" s="65">
        <f t="shared" si="0"/>
        <v>91400</v>
      </c>
      <c r="E43" s="72">
        <v>87400</v>
      </c>
      <c r="F43" s="72">
        <v>700</v>
      </c>
    </row>
    <row r="44" spans="1:11">
      <c r="A44" s="66" t="s">
        <v>92</v>
      </c>
      <c r="B44" s="74" t="s">
        <v>107</v>
      </c>
      <c r="C44" s="72">
        <f>761400+17000+62400</f>
        <v>840800</v>
      </c>
      <c r="D44" s="65">
        <f t="shared" si="0"/>
        <v>803000</v>
      </c>
      <c r="E44" s="72">
        <f>661800+10000</f>
        <v>671800</v>
      </c>
      <c r="F44" s="72">
        <f>35000-14200+17000</f>
        <v>37800</v>
      </c>
    </row>
    <row r="45" spans="1:11">
      <c r="A45" s="66" t="s">
        <v>93</v>
      </c>
      <c r="B45" s="74" t="s">
        <v>104</v>
      </c>
      <c r="C45" s="72">
        <f>285400+69700+82400</f>
        <v>437500</v>
      </c>
      <c r="D45" s="65">
        <f t="shared" si="0"/>
        <v>41200</v>
      </c>
      <c r="E45" s="72"/>
      <c r="F45" s="72">
        <f>244200+69700+82400</f>
        <v>396300</v>
      </c>
    </row>
    <row r="46" spans="1:11">
      <c r="A46" s="66" t="s">
        <v>94</v>
      </c>
      <c r="B46" s="74" t="s">
        <v>65</v>
      </c>
      <c r="C46" s="72">
        <f>988500+28200+3000+47900</f>
        <v>1067600</v>
      </c>
      <c r="D46" s="65">
        <f t="shared" si="0"/>
        <v>1065600</v>
      </c>
      <c r="E46" s="72">
        <f>901200+33700+23700</f>
        <v>958600</v>
      </c>
      <c r="F46" s="72">
        <v>2000</v>
      </c>
    </row>
    <row r="47" spans="1:11">
      <c r="A47" s="66" t="s">
        <v>95</v>
      </c>
      <c r="B47" s="74" t="s">
        <v>128</v>
      </c>
      <c r="C47" s="72">
        <f>662500+4800+25600</f>
        <v>692900</v>
      </c>
      <c r="D47" s="65">
        <f t="shared" si="0"/>
        <v>688900</v>
      </c>
      <c r="E47" s="72">
        <f>588700+20500</f>
        <v>609200</v>
      </c>
      <c r="F47" s="72">
        <v>4000</v>
      </c>
    </row>
    <row r="48" spans="1:11">
      <c r="A48" s="75" t="s">
        <v>96</v>
      </c>
      <c r="B48" s="74" t="s">
        <v>30</v>
      </c>
      <c r="C48" s="72">
        <f>1520400+12600+7100+14100+67700</f>
        <v>1621900</v>
      </c>
      <c r="D48" s="65">
        <f t="shared" si="0"/>
        <v>1602900</v>
      </c>
      <c r="E48" s="72">
        <f>1083500+12600+7000+5300+60700</f>
        <v>1169100</v>
      </c>
      <c r="F48" s="72">
        <v>19000</v>
      </c>
    </row>
    <row r="49" spans="1:7">
      <c r="A49" s="75" t="s">
        <v>97</v>
      </c>
      <c r="B49" s="74" t="s">
        <v>200</v>
      </c>
      <c r="C49" s="72">
        <f>9286500+125300+1968200+21400-10000+97000+391500+1163600+284700+2600</f>
        <v>13330800</v>
      </c>
      <c r="D49" s="65">
        <f t="shared" si="0"/>
        <v>9939200</v>
      </c>
      <c r="E49" s="72">
        <f>2632100+18400+12900+1100</f>
        <v>2664500</v>
      </c>
      <c r="F49" s="72">
        <f>1055700+1361300+23000+61100+99200+515300+273400+2600</f>
        <v>3391600</v>
      </c>
    </row>
    <row r="50" spans="1:7">
      <c r="A50" s="66" t="s">
        <v>98</v>
      </c>
      <c r="B50" s="76" t="s">
        <v>156</v>
      </c>
      <c r="C50" s="73">
        <f>17500-5000+800</f>
        <v>13300</v>
      </c>
      <c r="D50" s="65">
        <f t="shared" si="0"/>
        <v>13300</v>
      </c>
      <c r="E50" s="73"/>
      <c r="F50" s="73"/>
    </row>
    <row r="51" spans="1:7">
      <c r="A51" s="20"/>
      <c r="B51" s="46" t="s">
        <v>71</v>
      </c>
      <c r="C51" s="16">
        <f>C16+C17+C18+C19+C20+C21+C22+C23+C24+C25+C26+C27+C28+C29+C30+C31+C32+C33+C34+C35+C36+C37+C38+C39+C40+C41+C42+C43+C44+C45+C46+C47+C48+C49</f>
        <v>34354600</v>
      </c>
      <c r="D51" s="16">
        <f>D16+D17+D18+D19+D20+D21+D22+D23+D24+D25+D26+D27+D28+D29+D30+D31+D32+D33+D34+D35+D36+D37+D38+D39+D40+D41+D42+D43+D44+D45+D46+D47+D48+D49</f>
        <v>30244500</v>
      </c>
      <c r="E51" s="16">
        <f>E16+E17+E18+E19+E20+E21+E22+E23+E24+E25+E26+E27+E28+E29+E30+E31+E32+E33+E34+E35+E36+E37+E38+E39+E40+E41+E42+E43+E44+E45+E46+E47+E48+E49</f>
        <v>19408100</v>
      </c>
      <c r="F51" s="16">
        <f>F16+F17+F18+F19+F20+F21+F22+F23+F24+F25+F26+F27+F28+F29+F30+F31+F32+F33+F34+F35+F36+F37+F38+F39+F40+F41+F42+F43+F44+F45+F46+F47+F48+F49</f>
        <v>4110100</v>
      </c>
    </row>
    <row r="52" spans="1:7">
      <c r="A52" s="90"/>
      <c r="B52" s="90"/>
      <c r="C52" s="90"/>
      <c r="D52" s="90"/>
      <c r="E52" s="90"/>
      <c r="F52" s="90"/>
    </row>
    <row r="53" spans="1:7">
      <c r="A53" s="92" t="s">
        <v>18</v>
      </c>
      <c r="B53" s="92"/>
      <c r="C53" s="92"/>
      <c r="D53" s="92"/>
      <c r="E53" s="92"/>
      <c r="F53" s="92"/>
    </row>
    <row r="54" spans="1:7">
      <c r="A54" s="31"/>
      <c r="B54" s="31"/>
      <c r="C54" s="31"/>
      <c r="D54" s="31"/>
      <c r="E54" s="31"/>
      <c r="F54" s="31"/>
    </row>
    <row r="55" spans="1:7">
      <c r="A55" s="31"/>
      <c r="B55" s="31"/>
      <c r="C55" s="31"/>
      <c r="D55" s="31"/>
      <c r="E55" s="31"/>
      <c r="F55" s="31"/>
      <c r="G55" s="82"/>
    </row>
    <row r="56" spans="1:7">
      <c r="A56" s="31"/>
      <c r="B56" s="31"/>
      <c r="C56" s="31"/>
      <c r="D56" s="31"/>
      <c r="E56" s="31"/>
      <c r="F56" s="31"/>
    </row>
    <row r="57" spans="1:7">
      <c r="A57" s="31"/>
      <c r="B57" s="31"/>
      <c r="C57" s="31"/>
      <c r="D57" s="31"/>
      <c r="E57" s="31"/>
      <c r="F57" s="31"/>
    </row>
    <row r="58" spans="1:7">
      <c r="A58" s="31"/>
      <c r="B58" s="31"/>
      <c r="C58" s="31"/>
      <c r="D58" s="31"/>
      <c r="E58" s="31"/>
      <c r="F58" s="31"/>
    </row>
    <row r="59" spans="1:7">
      <c r="A59" s="31"/>
      <c r="B59" s="31"/>
      <c r="C59" s="31"/>
      <c r="D59" s="31"/>
      <c r="E59" s="31"/>
      <c r="F59" s="31"/>
    </row>
    <row r="60" spans="1:7">
      <c r="A60" s="31"/>
      <c r="B60" s="31"/>
      <c r="C60" s="31"/>
      <c r="D60" s="31"/>
      <c r="E60" s="31"/>
      <c r="F60" s="31"/>
    </row>
    <row r="61" spans="1:7">
      <c r="A61" s="31"/>
      <c r="B61" s="31"/>
      <c r="C61" s="31"/>
      <c r="D61" s="31"/>
      <c r="E61" s="31"/>
      <c r="F61" s="31"/>
    </row>
    <row r="62" spans="1:7">
      <c r="A62" s="31"/>
      <c r="B62" s="31"/>
      <c r="C62" s="31"/>
      <c r="D62" s="31"/>
      <c r="E62" s="31"/>
      <c r="F62" s="31"/>
    </row>
    <row r="63" spans="1:7">
      <c r="A63" s="31"/>
      <c r="B63" s="31"/>
      <c r="C63" s="31"/>
      <c r="D63" s="31"/>
      <c r="E63" s="31"/>
      <c r="F63" s="31"/>
    </row>
    <row r="64" spans="1:7">
      <c r="A64" s="31"/>
      <c r="B64" s="31"/>
      <c r="C64" s="31"/>
      <c r="D64" s="31"/>
      <c r="E64" s="31"/>
      <c r="F64" s="31"/>
    </row>
    <row r="65" spans="1:6">
      <c r="A65" s="31"/>
      <c r="B65" s="31"/>
      <c r="C65" s="31"/>
      <c r="D65" s="31"/>
      <c r="E65" s="31"/>
      <c r="F65" s="31"/>
    </row>
    <row r="66" spans="1:6">
      <c r="A66" s="31"/>
      <c r="B66" s="31"/>
      <c r="C66" s="31"/>
      <c r="D66" s="31"/>
      <c r="E66" s="31"/>
      <c r="F66" s="31"/>
    </row>
    <row r="67" spans="1:6">
      <c r="A67" s="31"/>
      <c r="B67" s="31"/>
      <c r="C67" s="31"/>
      <c r="D67" s="31"/>
      <c r="E67" s="31"/>
      <c r="F67" s="31"/>
    </row>
    <row r="68" spans="1:6">
      <c r="A68" s="31"/>
      <c r="B68" s="31"/>
      <c r="C68" s="31"/>
      <c r="D68" s="31"/>
      <c r="E68" s="31"/>
      <c r="F68" s="31"/>
    </row>
    <row r="69" spans="1:6">
      <c r="A69" s="31"/>
      <c r="B69" s="31"/>
      <c r="C69" s="31"/>
      <c r="D69" s="31"/>
      <c r="E69" s="31"/>
      <c r="F69" s="31"/>
    </row>
    <row r="70" spans="1:6">
      <c r="A70" s="31"/>
      <c r="B70" s="31"/>
      <c r="C70" s="31"/>
      <c r="D70" s="31"/>
      <c r="E70" s="31"/>
      <c r="F70" s="31"/>
    </row>
    <row r="71" spans="1:6">
      <c r="A71" s="31"/>
      <c r="B71" s="31"/>
      <c r="C71" s="31"/>
      <c r="D71" s="31"/>
      <c r="E71" s="31"/>
      <c r="F71" s="31"/>
    </row>
    <row r="72" spans="1:6">
      <c r="A72" s="31"/>
      <c r="B72" s="31"/>
      <c r="C72" s="31"/>
      <c r="D72" s="31"/>
      <c r="E72" s="31"/>
      <c r="F72" s="31"/>
    </row>
    <row r="73" spans="1:6">
      <c r="A73" s="31"/>
      <c r="B73" s="31"/>
      <c r="C73" s="31"/>
      <c r="D73" s="31"/>
      <c r="E73" s="31"/>
      <c r="F73" s="31"/>
    </row>
    <row r="74" spans="1:6">
      <c r="A74" s="31"/>
      <c r="B74" s="31"/>
      <c r="C74" s="31"/>
      <c r="D74" s="31"/>
      <c r="E74" s="31"/>
      <c r="F74" s="31"/>
    </row>
    <row r="75" spans="1:6">
      <c r="A75" s="31"/>
      <c r="B75" s="31"/>
      <c r="C75" s="31"/>
      <c r="D75" s="31"/>
      <c r="E75" s="31"/>
      <c r="F75" s="31"/>
    </row>
    <row r="76" spans="1:6">
      <c r="A76" s="31"/>
      <c r="B76" s="31"/>
      <c r="C76" s="31"/>
      <c r="D76" s="31"/>
      <c r="E76" s="31"/>
      <c r="F76" s="31"/>
    </row>
    <row r="77" spans="1:6">
      <c r="A77" s="31"/>
      <c r="B77" s="31"/>
      <c r="C77" s="31"/>
      <c r="D77" s="31"/>
      <c r="E77" s="31"/>
      <c r="F77" s="31"/>
    </row>
    <row r="78" spans="1:6">
      <c r="A78" s="31"/>
      <c r="B78" s="31"/>
      <c r="C78" s="31"/>
      <c r="D78" s="31"/>
      <c r="E78" s="31"/>
      <c r="F78" s="31"/>
    </row>
    <row r="79" spans="1:6">
      <c r="A79" s="31"/>
      <c r="B79" s="31"/>
      <c r="C79" s="31"/>
      <c r="D79" s="31"/>
      <c r="E79" s="31"/>
      <c r="F79" s="31"/>
    </row>
    <row r="80" spans="1:6">
      <c r="A80" s="32"/>
      <c r="B80" s="32"/>
      <c r="C80" s="32"/>
      <c r="D80" s="32"/>
      <c r="E80" s="32"/>
      <c r="F80" s="32"/>
    </row>
    <row r="81" spans="1:6">
      <c r="A81" s="32"/>
      <c r="B81" s="32"/>
      <c r="C81" s="32"/>
      <c r="D81" s="32"/>
      <c r="E81" s="32"/>
      <c r="F81" s="32"/>
    </row>
    <row r="82" spans="1:6">
      <c r="A82" s="32"/>
      <c r="B82" s="32"/>
      <c r="C82" s="32"/>
      <c r="D82" s="32"/>
      <c r="E82" s="32"/>
      <c r="F82" s="32"/>
    </row>
    <row r="83" spans="1:6">
      <c r="A83" s="32"/>
      <c r="B83" s="32"/>
      <c r="C83" s="32"/>
      <c r="D83" s="32"/>
      <c r="E83" s="32"/>
      <c r="F83" s="32"/>
    </row>
    <row r="84" spans="1:6">
      <c r="A84" s="32"/>
      <c r="B84" s="32"/>
      <c r="C84" s="32"/>
      <c r="D84" s="32"/>
      <c r="E84" s="32"/>
      <c r="F84" s="32"/>
    </row>
    <row r="85" spans="1:6">
      <c r="A85" s="32"/>
      <c r="B85" s="32"/>
      <c r="C85" s="32"/>
      <c r="D85" s="32"/>
      <c r="E85" s="32"/>
      <c r="F85" s="32"/>
    </row>
    <row r="86" spans="1:6">
      <c r="A86" s="32"/>
      <c r="B86" s="32"/>
      <c r="C86" s="32"/>
      <c r="D86" s="32"/>
      <c r="E86" s="32"/>
      <c r="F86" s="32"/>
    </row>
    <row r="87" spans="1:6">
      <c r="A87" s="32"/>
      <c r="B87" s="32"/>
      <c r="C87" s="32"/>
      <c r="D87" s="32"/>
      <c r="E87" s="32"/>
      <c r="F87" s="32"/>
    </row>
    <row r="88" spans="1:6">
      <c r="A88" s="32"/>
      <c r="B88" s="32"/>
      <c r="C88" s="32"/>
      <c r="D88" s="32"/>
      <c r="E88" s="32"/>
      <c r="F88" s="32"/>
    </row>
    <row r="89" spans="1:6">
      <c r="A89" s="32"/>
      <c r="B89" s="32"/>
      <c r="C89" s="32"/>
      <c r="D89" s="32"/>
      <c r="E89" s="32"/>
      <c r="F89" s="32"/>
    </row>
    <row r="90" spans="1:6">
      <c r="A90" s="32"/>
      <c r="B90" s="32"/>
      <c r="C90" s="32"/>
      <c r="D90" s="32"/>
      <c r="E90" s="32"/>
      <c r="F90" s="32"/>
    </row>
    <row r="91" spans="1:6">
      <c r="A91" s="32"/>
      <c r="B91" s="32"/>
      <c r="C91" s="32"/>
      <c r="D91" s="32"/>
      <c r="E91" s="32"/>
      <c r="F91" s="32"/>
    </row>
    <row r="92" spans="1:6">
      <c r="A92" s="32"/>
      <c r="B92" s="32"/>
      <c r="C92" s="32"/>
      <c r="D92" s="32"/>
      <c r="E92" s="32"/>
      <c r="F92" s="32"/>
    </row>
    <row r="93" spans="1:6">
      <c r="A93" s="32"/>
      <c r="B93" s="32"/>
      <c r="C93" s="32"/>
      <c r="D93" s="32"/>
      <c r="E93" s="32"/>
      <c r="F93" s="32"/>
    </row>
    <row r="94" spans="1:6">
      <c r="A94" s="32"/>
      <c r="B94" s="32"/>
      <c r="C94" s="32"/>
      <c r="D94" s="32"/>
      <c r="E94" s="32"/>
      <c r="F94" s="32"/>
    </row>
    <row r="95" spans="1:6">
      <c r="A95" s="32"/>
      <c r="B95" s="32"/>
      <c r="C95" s="32"/>
      <c r="D95" s="32"/>
      <c r="E95" s="32"/>
      <c r="F95" s="32"/>
    </row>
    <row r="96" spans="1:6">
      <c r="A96" s="32"/>
      <c r="B96" s="32"/>
      <c r="C96" s="32"/>
      <c r="D96" s="32"/>
      <c r="E96" s="32"/>
      <c r="F96" s="32"/>
    </row>
    <row r="97" spans="1:6">
      <c r="A97" s="32"/>
      <c r="B97" s="32"/>
      <c r="C97" s="32"/>
      <c r="D97" s="32"/>
      <c r="E97" s="32"/>
      <c r="F97" s="32"/>
    </row>
    <row r="98" spans="1:6">
      <c r="A98" s="32"/>
      <c r="B98" s="32"/>
      <c r="C98" s="32"/>
      <c r="D98" s="32"/>
      <c r="E98" s="32"/>
      <c r="F98" s="32"/>
    </row>
    <row r="99" spans="1:6">
      <c r="A99" s="32"/>
      <c r="B99" s="32"/>
      <c r="C99" s="32"/>
      <c r="D99" s="32"/>
      <c r="E99" s="32"/>
      <c r="F99" s="32"/>
    </row>
    <row r="100" spans="1:6">
      <c r="A100" s="32"/>
      <c r="B100" s="32"/>
      <c r="C100" s="32"/>
      <c r="D100" s="32"/>
      <c r="E100" s="32"/>
      <c r="F100" s="32"/>
    </row>
    <row r="101" spans="1:6">
      <c r="A101" s="32"/>
      <c r="B101" s="32"/>
      <c r="C101" s="32"/>
      <c r="D101" s="32"/>
      <c r="E101" s="32"/>
      <c r="F101" s="32"/>
    </row>
    <row r="102" spans="1:6">
      <c r="A102" s="32"/>
      <c r="B102" s="32"/>
      <c r="C102" s="32"/>
      <c r="D102" s="32"/>
      <c r="E102" s="32"/>
      <c r="F102" s="32"/>
    </row>
    <row r="103" spans="1:6">
      <c r="A103" s="32"/>
      <c r="B103" s="32"/>
      <c r="C103" s="32"/>
      <c r="D103" s="32"/>
      <c r="E103" s="32"/>
      <c r="F103" s="32"/>
    </row>
    <row r="104" spans="1:6">
      <c r="A104" s="32"/>
      <c r="B104" s="32"/>
      <c r="C104" s="32"/>
      <c r="D104" s="32"/>
      <c r="E104" s="32"/>
      <c r="F104" s="32"/>
    </row>
    <row r="105" spans="1:6">
      <c r="A105" s="32"/>
      <c r="B105" s="32"/>
      <c r="C105" s="32"/>
      <c r="D105" s="32"/>
      <c r="E105" s="32"/>
      <c r="F105" s="32"/>
    </row>
    <row r="106" spans="1:6">
      <c r="A106" s="32"/>
      <c r="B106" s="32"/>
      <c r="C106" s="32"/>
      <c r="D106" s="32"/>
      <c r="E106" s="32"/>
      <c r="F106" s="32"/>
    </row>
    <row r="107" spans="1:6">
      <c r="A107" s="32"/>
      <c r="B107" s="32"/>
      <c r="C107" s="32"/>
      <c r="D107" s="32"/>
      <c r="E107" s="32"/>
      <c r="F107" s="32"/>
    </row>
    <row r="108" spans="1:6">
      <c r="A108" s="32"/>
      <c r="B108" s="32"/>
      <c r="C108" s="32"/>
      <c r="D108" s="32"/>
      <c r="E108" s="32"/>
      <c r="F108" s="32"/>
    </row>
    <row r="109" spans="1:6">
      <c r="A109" s="32"/>
      <c r="B109" s="32"/>
      <c r="C109" s="32"/>
      <c r="D109" s="32"/>
      <c r="E109" s="32"/>
      <c r="F109" s="32"/>
    </row>
    <row r="110" spans="1:6">
      <c r="A110" s="32"/>
      <c r="B110" s="32"/>
      <c r="C110" s="32"/>
      <c r="D110" s="32"/>
      <c r="E110" s="32"/>
      <c r="F110" s="32"/>
    </row>
    <row r="111" spans="1:6">
      <c r="A111" s="32"/>
      <c r="B111" s="32"/>
      <c r="C111" s="32"/>
      <c r="D111" s="32"/>
      <c r="E111" s="32"/>
      <c r="F111" s="32"/>
    </row>
    <row r="112" spans="1:6">
      <c r="A112" s="32"/>
      <c r="B112" s="32"/>
      <c r="C112" s="32"/>
      <c r="D112" s="32"/>
      <c r="E112" s="32"/>
      <c r="F112" s="32"/>
    </row>
    <row r="113" spans="1:6">
      <c r="A113" s="32"/>
      <c r="B113" s="32"/>
      <c r="C113" s="32"/>
      <c r="D113" s="32"/>
      <c r="E113" s="32"/>
      <c r="F113" s="32"/>
    </row>
    <row r="114" spans="1:6">
      <c r="A114" s="32"/>
      <c r="B114" s="32"/>
      <c r="C114" s="32"/>
      <c r="D114" s="32"/>
      <c r="E114" s="32"/>
      <c r="F114" s="32"/>
    </row>
    <row r="115" spans="1:6">
      <c r="A115" s="32"/>
      <c r="B115" s="32"/>
      <c r="C115" s="32"/>
      <c r="D115" s="32"/>
      <c r="E115" s="32"/>
      <c r="F115" s="32"/>
    </row>
    <row r="116" spans="1:6">
      <c r="A116" s="32"/>
      <c r="B116" s="32"/>
      <c r="C116" s="32"/>
      <c r="D116" s="32"/>
      <c r="E116" s="32"/>
      <c r="F116" s="32"/>
    </row>
    <row r="117" spans="1:6">
      <c r="A117" s="32"/>
      <c r="B117" s="32"/>
      <c r="C117" s="32"/>
      <c r="D117" s="32"/>
      <c r="E117" s="32"/>
      <c r="F117" s="32"/>
    </row>
    <row r="118" spans="1:6">
      <c r="A118" s="32"/>
      <c r="B118" s="32"/>
      <c r="C118" s="32"/>
      <c r="D118" s="32"/>
      <c r="E118" s="32"/>
      <c r="F118" s="32"/>
    </row>
    <row r="119" spans="1:6">
      <c r="A119" s="32"/>
      <c r="B119" s="32"/>
      <c r="C119" s="32"/>
      <c r="D119" s="32"/>
      <c r="E119" s="32"/>
      <c r="F119" s="32"/>
    </row>
    <row r="120" spans="1:6">
      <c r="A120" s="32"/>
      <c r="B120" s="32"/>
      <c r="C120" s="32"/>
      <c r="D120" s="32"/>
      <c r="E120" s="32"/>
      <c r="F120" s="32"/>
    </row>
    <row r="121" spans="1:6">
      <c r="A121" s="32"/>
      <c r="B121" s="32"/>
      <c r="C121" s="32"/>
      <c r="D121" s="32"/>
      <c r="E121" s="32"/>
      <c r="F121" s="32"/>
    </row>
    <row r="122" spans="1:6">
      <c r="A122" s="32"/>
      <c r="B122" s="32"/>
      <c r="C122" s="32"/>
      <c r="D122" s="32"/>
      <c r="E122" s="32"/>
      <c r="F122" s="32"/>
    </row>
    <row r="123" spans="1:6">
      <c r="A123" s="32"/>
      <c r="B123" s="32"/>
      <c r="C123" s="32"/>
      <c r="D123" s="32"/>
      <c r="E123" s="32"/>
      <c r="F123" s="32"/>
    </row>
    <row r="124" spans="1:6">
      <c r="A124" s="32"/>
      <c r="B124" s="32"/>
      <c r="C124" s="32"/>
      <c r="D124" s="32"/>
      <c r="E124" s="32"/>
      <c r="F124" s="32"/>
    </row>
    <row r="125" spans="1:6">
      <c r="A125" s="32"/>
      <c r="B125" s="32"/>
      <c r="C125" s="32"/>
      <c r="D125" s="32"/>
      <c r="E125" s="32"/>
      <c r="F125" s="32"/>
    </row>
    <row r="126" spans="1:6">
      <c r="A126" s="32"/>
      <c r="B126" s="32"/>
      <c r="C126" s="32"/>
      <c r="D126" s="32"/>
      <c r="E126" s="32"/>
      <c r="F126" s="32"/>
    </row>
    <row r="127" spans="1:6">
      <c r="A127" s="32"/>
      <c r="B127" s="32"/>
      <c r="C127" s="32"/>
      <c r="D127" s="32"/>
      <c r="E127" s="32"/>
      <c r="F127" s="32"/>
    </row>
    <row r="128" spans="1:6">
      <c r="A128" s="32"/>
      <c r="B128" s="32"/>
      <c r="C128" s="32"/>
      <c r="D128" s="32"/>
      <c r="E128" s="32"/>
      <c r="F128" s="32"/>
    </row>
    <row r="129" spans="1:6">
      <c r="A129" s="32"/>
      <c r="B129" s="32"/>
      <c r="C129" s="32"/>
      <c r="D129" s="32"/>
      <c r="E129" s="32"/>
      <c r="F129" s="32"/>
    </row>
    <row r="130" spans="1:6">
      <c r="A130" s="32"/>
      <c r="B130" s="32"/>
      <c r="C130" s="32"/>
      <c r="D130" s="32"/>
      <c r="E130" s="32"/>
      <c r="F130" s="32"/>
    </row>
    <row r="131" spans="1:6">
      <c r="A131" s="32"/>
      <c r="B131" s="32"/>
      <c r="C131" s="32"/>
      <c r="D131" s="32"/>
      <c r="E131" s="32"/>
      <c r="F131" s="32"/>
    </row>
    <row r="132" spans="1:6">
      <c r="A132" s="32"/>
      <c r="B132" s="32"/>
      <c r="C132" s="32"/>
      <c r="D132" s="32"/>
      <c r="E132" s="32"/>
      <c r="F132" s="32"/>
    </row>
    <row r="133" spans="1:6">
      <c r="A133" s="32"/>
      <c r="B133" s="32"/>
      <c r="C133" s="32"/>
      <c r="D133" s="32"/>
      <c r="E133" s="32"/>
      <c r="F133" s="32"/>
    </row>
  </sheetData>
  <mergeCells count="16">
    <mergeCell ref="A53:F53"/>
    <mergeCell ref="C10:F10"/>
    <mergeCell ref="A11:A14"/>
    <mergeCell ref="B11:B14"/>
    <mergeCell ref="C11:F11"/>
    <mergeCell ref="C12:C14"/>
    <mergeCell ref="D12:F12"/>
    <mergeCell ref="D13:E13"/>
    <mergeCell ref="F13:F14"/>
    <mergeCell ref="D1:F1"/>
    <mergeCell ref="D2:F2"/>
    <mergeCell ref="D3:F3"/>
    <mergeCell ref="D4:F4"/>
    <mergeCell ref="A52:F52"/>
    <mergeCell ref="A9:F9"/>
    <mergeCell ref="D7:F7"/>
  </mergeCells>
  <phoneticPr fontId="4" type="noConversion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3"/>
  <sheetViews>
    <sheetView zoomScale="134" zoomScaleNormal="134" workbookViewId="0">
      <selection activeCell="F7" sqref="F7:H7"/>
    </sheetView>
  </sheetViews>
  <sheetFormatPr defaultColWidth="8.85546875" defaultRowHeight="12.75"/>
  <cols>
    <col min="1" max="1" width="5" style="55" customWidth="1"/>
    <col min="2" max="2" width="35.28515625" style="55" customWidth="1"/>
    <col min="3" max="4" width="9" style="55" bestFit="1" customWidth="1"/>
    <col min="5" max="5" width="8.28515625" style="55" bestFit="1" customWidth="1"/>
    <col min="6" max="6" width="11.28515625" style="55" customWidth="1"/>
    <col min="7" max="7" width="7.85546875" style="55" customWidth="1"/>
    <col min="8" max="8" width="9.5703125" style="55" bestFit="1" customWidth="1"/>
    <col min="9" max="9" width="10.28515625" style="55" customWidth="1"/>
    <col min="10" max="16384" width="8.85546875" style="55"/>
  </cols>
  <sheetData>
    <row r="1" spans="1:9" ht="12.75" customHeight="1">
      <c r="A1" s="3"/>
      <c r="B1" s="3"/>
      <c r="C1" s="19"/>
      <c r="D1" s="19"/>
      <c r="E1" s="19"/>
      <c r="F1" s="88" t="s">
        <v>5</v>
      </c>
      <c r="G1" s="88"/>
      <c r="H1" s="88"/>
      <c r="I1" s="19"/>
    </row>
    <row r="2" spans="1:9" ht="12.75" customHeight="1">
      <c r="A2" s="3"/>
      <c r="B2" s="3"/>
      <c r="C2" s="19"/>
      <c r="D2" s="19"/>
      <c r="E2" s="19"/>
      <c r="F2" s="88" t="s">
        <v>136</v>
      </c>
      <c r="G2" s="88"/>
      <c r="H2" s="88"/>
      <c r="I2" s="19"/>
    </row>
    <row r="3" spans="1:9" ht="12.75" customHeight="1">
      <c r="A3" s="1"/>
      <c r="B3" s="3"/>
      <c r="C3" s="19"/>
      <c r="D3" s="19"/>
      <c r="E3" s="19"/>
      <c r="F3" s="88" t="s">
        <v>159</v>
      </c>
      <c r="G3" s="88"/>
      <c r="H3" s="88"/>
      <c r="I3" s="19"/>
    </row>
    <row r="4" spans="1:9">
      <c r="A4" s="1"/>
      <c r="B4" s="8"/>
      <c r="C4" s="8"/>
      <c r="D4" s="8"/>
      <c r="E4" s="8"/>
      <c r="F4" s="89" t="s">
        <v>72</v>
      </c>
      <c r="G4" s="89"/>
      <c r="H4" s="89"/>
      <c r="I4" s="8"/>
    </row>
    <row r="5" spans="1:9">
      <c r="A5" s="1"/>
      <c r="B5" s="8"/>
      <c r="C5" s="8"/>
      <c r="D5" s="8"/>
      <c r="E5" s="8"/>
      <c r="F5" s="50" t="s">
        <v>158</v>
      </c>
      <c r="G5" s="50"/>
      <c r="H5" s="50"/>
      <c r="I5" s="8"/>
    </row>
    <row r="6" spans="1:9">
      <c r="A6" s="1"/>
      <c r="B6" s="8"/>
      <c r="C6" s="8"/>
      <c r="D6" s="8"/>
      <c r="E6" s="8"/>
      <c r="F6" s="8" t="s">
        <v>199</v>
      </c>
      <c r="G6" s="8"/>
      <c r="H6" s="50"/>
      <c r="I6" s="8"/>
    </row>
    <row r="7" spans="1:9">
      <c r="A7" s="1"/>
      <c r="B7" s="8"/>
      <c r="C7" s="8"/>
      <c r="D7" s="8"/>
      <c r="E7" s="8"/>
      <c r="F7" s="89" t="s">
        <v>201</v>
      </c>
      <c r="G7" s="89"/>
      <c r="H7" s="89"/>
      <c r="I7" s="8"/>
    </row>
    <row r="8" spans="1:9">
      <c r="A8" s="1"/>
      <c r="B8" s="8"/>
      <c r="C8" s="8"/>
      <c r="D8" s="50"/>
      <c r="E8" s="50"/>
      <c r="F8" s="50"/>
      <c r="G8" s="50"/>
      <c r="H8" s="50"/>
      <c r="I8" s="50"/>
    </row>
    <row r="9" spans="1:9">
      <c r="A9" s="91" t="s">
        <v>154</v>
      </c>
      <c r="B9" s="91"/>
      <c r="C9" s="91"/>
      <c r="D9" s="91"/>
      <c r="E9" s="91"/>
      <c r="F9" s="91"/>
      <c r="G9" s="91"/>
      <c r="H9" s="91"/>
      <c r="I9" s="91"/>
    </row>
    <row r="10" spans="1:9">
      <c r="A10" s="91" t="s">
        <v>153</v>
      </c>
      <c r="B10" s="91"/>
      <c r="C10" s="91"/>
      <c r="D10" s="91"/>
      <c r="E10" s="91"/>
      <c r="F10" s="91"/>
      <c r="G10" s="91"/>
      <c r="H10" s="91"/>
      <c r="I10" s="91"/>
    </row>
    <row r="11" spans="1:9">
      <c r="A11" s="1"/>
      <c r="B11" s="3"/>
      <c r="C11" s="93" t="s">
        <v>120</v>
      </c>
      <c r="D11" s="93"/>
      <c r="E11" s="93"/>
      <c r="F11" s="93"/>
      <c r="G11" s="93"/>
      <c r="H11" s="93"/>
      <c r="I11" s="93"/>
    </row>
    <row r="12" spans="1:9">
      <c r="A12" s="104" t="s">
        <v>31</v>
      </c>
      <c r="B12" s="104" t="s">
        <v>64</v>
      </c>
      <c r="C12" s="108" t="s">
        <v>69</v>
      </c>
      <c r="D12" s="109"/>
      <c r="E12" s="109"/>
      <c r="F12" s="109"/>
      <c r="G12" s="109"/>
      <c r="H12" s="109"/>
      <c r="I12" s="110"/>
    </row>
    <row r="13" spans="1:9">
      <c r="A13" s="105"/>
      <c r="B13" s="107"/>
      <c r="C13" s="104" t="s">
        <v>2</v>
      </c>
      <c r="D13" s="111" t="s">
        <v>3</v>
      </c>
      <c r="E13" s="111"/>
      <c r="F13" s="111"/>
      <c r="G13" s="111"/>
      <c r="H13" s="111"/>
      <c r="I13" s="111"/>
    </row>
    <row r="14" spans="1:9" ht="45.75" customHeight="1">
      <c r="A14" s="106"/>
      <c r="B14" s="107"/>
      <c r="C14" s="106"/>
      <c r="D14" s="10" t="s">
        <v>61</v>
      </c>
      <c r="E14" s="10" t="s">
        <v>129</v>
      </c>
      <c r="F14" s="10" t="s">
        <v>62</v>
      </c>
      <c r="G14" s="10" t="s">
        <v>121</v>
      </c>
      <c r="H14" s="10" t="s">
        <v>63</v>
      </c>
      <c r="I14" s="10" t="s">
        <v>195</v>
      </c>
    </row>
    <row r="15" spans="1:9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</row>
    <row r="16" spans="1:9">
      <c r="A16" s="62" t="s">
        <v>32</v>
      </c>
      <c r="B16" s="63" t="s">
        <v>10</v>
      </c>
      <c r="C16" s="64">
        <f>SUM(D16:I16)</f>
        <v>1204200</v>
      </c>
      <c r="D16" s="65">
        <f>295700+700+8400</f>
        <v>304800</v>
      </c>
      <c r="E16" s="65">
        <f>849800+1500</f>
        <v>851300</v>
      </c>
      <c r="F16" s="65">
        <v>18000</v>
      </c>
      <c r="G16" s="65">
        <f>3000+1800</f>
        <v>4800</v>
      </c>
      <c r="H16" s="65">
        <f>12000+13300</f>
        <v>25300</v>
      </c>
      <c r="I16" s="65"/>
    </row>
    <row r="17" spans="1:11">
      <c r="A17" s="62" t="s">
        <v>33</v>
      </c>
      <c r="B17" s="63" t="s">
        <v>110</v>
      </c>
      <c r="C17" s="64">
        <f t="shared" ref="C17:C50" si="0">SUM(D17:I17)</f>
        <v>859200</v>
      </c>
      <c r="D17" s="65">
        <f>248700+700+4700</f>
        <v>254100</v>
      </c>
      <c r="E17" s="65">
        <f>554800+200</f>
        <v>555000</v>
      </c>
      <c r="F17" s="65">
        <f>24400+2600</f>
        <v>27000</v>
      </c>
      <c r="G17" s="65">
        <f>1100+500+300+200</f>
        <v>2100</v>
      </c>
      <c r="H17" s="65">
        <v>21000</v>
      </c>
      <c r="I17" s="65"/>
      <c r="K17" s="22"/>
    </row>
    <row r="18" spans="1:11">
      <c r="A18" s="66" t="s">
        <v>34</v>
      </c>
      <c r="B18" s="63" t="s">
        <v>117</v>
      </c>
      <c r="C18" s="64">
        <f t="shared" si="0"/>
        <v>951900</v>
      </c>
      <c r="D18" s="65">
        <f>324900+700</f>
        <v>325600</v>
      </c>
      <c r="E18" s="65">
        <f>575500+100</f>
        <v>575600</v>
      </c>
      <c r="F18" s="65">
        <f>28000+1400</f>
        <v>29400</v>
      </c>
      <c r="G18" s="68">
        <f>1100+200</f>
        <v>1300</v>
      </c>
      <c r="H18" s="68">
        <v>20000</v>
      </c>
      <c r="I18" s="68"/>
    </row>
    <row r="19" spans="1:11">
      <c r="A19" s="66" t="s">
        <v>35</v>
      </c>
      <c r="B19" s="63" t="s">
        <v>111</v>
      </c>
      <c r="C19" s="64">
        <f t="shared" si="0"/>
        <v>1180200</v>
      </c>
      <c r="D19" s="65">
        <f>342400+700</f>
        <v>343100</v>
      </c>
      <c r="E19" s="65">
        <f>760600+200</f>
        <v>760800</v>
      </c>
      <c r="F19" s="65">
        <f>34200+3100</f>
        <v>37300</v>
      </c>
      <c r="G19" s="68">
        <f>1700+300+6000+1000</f>
        <v>9000</v>
      </c>
      <c r="H19" s="68">
        <v>30000</v>
      </c>
      <c r="I19" s="68"/>
    </row>
    <row r="20" spans="1:11">
      <c r="A20" s="66" t="s">
        <v>36</v>
      </c>
      <c r="B20" s="63" t="s">
        <v>118</v>
      </c>
      <c r="C20" s="64">
        <f t="shared" si="0"/>
        <v>1908300</v>
      </c>
      <c r="D20" s="65">
        <f>449200+900+19200+6800</f>
        <v>476100</v>
      </c>
      <c r="E20" s="65">
        <f>1305000+800</f>
        <v>1305800</v>
      </c>
      <c r="F20" s="65">
        <f>82700+7800</f>
        <v>90500</v>
      </c>
      <c r="G20" s="68">
        <f>8600+800+8300+1300</f>
        <v>19000</v>
      </c>
      <c r="H20" s="68">
        <f>16900+1100-1100</f>
        <v>16900</v>
      </c>
      <c r="I20" s="68"/>
    </row>
    <row r="21" spans="1:11">
      <c r="A21" s="66" t="s">
        <v>37</v>
      </c>
      <c r="B21" s="63" t="s">
        <v>155</v>
      </c>
      <c r="C21" s="64">
        <f t="shared" si="0"/>
        <v>1389000</v>
      </c>
      <c r="D21" s="65">
        <f>287400+800+13300+5000</f>
        <v>306500</v>
      </c>
      <c r="E21" s="65">
        <f>912300+1000</f>
        <v>913300</v>
      </c>
      <c r="F21" s="65">
        <f>48600+3000</f>
        <v>51600</v>
      </c>
      <c r="G21" s="68">
        <f>106600+1500+2200+300</f>
        <v>110600</v>
      </c>
      <c r="H21" s="68">
        <v>7000</v>
      </c>
      <c r="I21" s="68"/>
    </row>
    <row r="22" spans="1:11">
      <c r="A22" s="66" t="s">
        <v>38</v>
      </c>
      <c r="B22" s="63" t="s">
        <v>115</v>
      </c>
      <c r="C22" s="64">
        <f t="shared" si="0"/>
        <v>745200</v>
      </c>
      <c r="D22" s="65">
        <f>249400+14000+900+1300</f>
        <v>265600</v>
      </c>
      <c r="E22" s="65">
        <f>425300+400</f>
        <v>425700</v>
      </c>
      <c r="F22" s="65">
        <f>20600+1600</f>
        <v>22200</v>
      </c>
      <c r="G22" s="68">
        <f>600+300+20000</f>
        <v>20900</v>
      </c>
      <c r="H22" s="68">
        <v>10800</v>
      </c>
      <c r="I22" s="68"/>
    </row>
    <row r="23" spans="1:11">
      <c r="A23" s="66" t="s">
        <v>39</v>
      </c>
      <c r="B23" s="63" t="s">
        <v>11</v>
      </c>
      <c r="C23" s="64">
        <f t="shared" si="0"/>
        <v>710300</v>
      </c>
      <c r="D23" s="65">
        <f>226300+700</f>
        <v>227000</v>
      </c>
      <c r="E23" s="65">
        <f>436200+200</f>
        <v>436400</v>
      </c>
      <c r="F23" s="65">
        <f>13200+1700</f>
        <v>14900</v>
      </c>
      <c r="G23" s="68">
        <f>9200+800</f>
        <v>10000</v>
      </c>
      <c r="H23" s="68">
        <v>22000</v>
      </c>
      <c r="I23" s="68"/>
    </row>
    <row r="24" spans="1:11">
      <c r="A24" s="66" t="s">
        <v>40</v>
      </c>
      <c r="B24" s="63" t="s">
        <v>112</v>
      </c>
      <c r="C24" s="64">
        <f t="shared" si="0"/>
        <v>489100</v>
      </c>
      <c r="D24" s="65">
        <f>161700+900</f>
        <v>162600</v>
      </c>
      <c r="E24" s="65">
        <v>302300</v>
      </c>
      <c r="F24" s="65">
        <f>11200+900</f>
        <v>12100</v>
      </c>
      <c r="G24" s="68">
        <v>400</v>
      </c>
      <c r="H24" s="68">
        <v>11700</v>
      </c>
      <c r="I24" s="68"/>
    </row>
    <row r="25" spans="1:11">
      <c r="A25" s="66" t="s">
        <v>41</v>
      </c>
      <c r="B25" s="63" t="s">
        <v>113</v>
      </c>
      <c r="C25" s="64">
        <f t="shared" si="0"/>
        <v>727300</v>
      </c>
      <c r="D25" s="65">
        <f>213400+12000+700</f>
        <v>226100</v>
      </c>
      <c r="E25" s="65">
        <v>448500</v>
      </c>
      <c r="F25" s="65">
        <f>25200+2000</f>
        <v>27200</v>
      </c>
      <c r="G25" s="68">
        <f>8600+100</f>
        <v>8700</v>
      </c>
      <c r="H25" s="68">
        <f>14500+2300</f>
        <v>16800</v>
      </c>
      <c r="I25" s="68"/>
    </row>
    <row r="26" spans="1:11">
      <c r="A26" s="66" t="s">
        <v>42</v>
      </c>
      <c r="B26" s="63" t="s">
        <v>119</v>
      </c>
      <c r="C26" s="64">
        <f t="shared" si="0"/>
        <v>388500</v>
      </c>
      <c r="D26" s="65">
        <f>117400+600</f>
        <v>118000</v>
      </c>
      <c r="E26" s="65">
        <v>257800</v>
      </c>
      <c r="F26" s="65">
        <f>11100+500</f>
        <v>11600</v>
      </c>
      <c r="G26" s="68"/>
      <c r="H26" s="68">
        <v>1100</v>
      </c>
      <c r="I26" s="68"/>
    </row>
    <row r="27" spans="1:11">
      <c r="A27" s="66" t="s">
        <v>43</v>
      </c>
      <c r="B27" s="63" t="s">
        <v>12</v>
      </c>
      <c r="C27" s="64">
        <f t="shared" si="0"/>
        <v>585200</v>
      </c>
      <c r="D27" s="65">
        <v>316200</v>
      </c>
      <c r="E27" s="65">
        <v>195800</v>
      </c>
      <c r="F27" s="65">
        <v>4800</v>
      </c>
      <c r="G27" s="65">
        <f>8700+400</f>
        <v>9100</v>
      </c>
      <c r="H27" s="65">
        <v>59300</v>
      </c>
      <c r="I27" s="65"/>
    </row>
    <row r="28" spans="1:11">
      <c r="A28" s="66" t="s">
        <v>44</v>
      </c>
      <c r="B28" s="63" t="s">
        <v>13</v>
      </c>
      <c r="C28" s="64">
        <f t="shared" si="0"/>
        <v>829700</v>
      </c>
      <c r="D28" s="65">
        <v>508200</v>
      </c>
      <c r="E28" s="65">
        <v>267800</v>
      </c>
      <c r="F28" s="65"/>
      <c r="G28" s="65">
        <v>100</v>
      </c>
      <c r="H28" s="65">
        <v>53600</v>
      </c>
      <c r="I28" s="65"/>
    </row>
    <row r="29" spans="1:11">
      <c r="A29" s="66" t="s">
        <v>45</v>
      </c>
      <c r="B29" s="63" t="s">
        <v>66</v>
      </c>
      <c r="C29" s="64">
        <f t="shared" si="0"/>
        <v>539200</v>
      </c>
      <c r="D29" s="65">
        <v>283800</v>
      </c>
      <c r="E29" s="65">
        <v>192600</v>
      </c>
      <c r="F29" s="65"/>
      <c r="G29" s="65">
        <v>300</v>
      </c>
      <c r="H29" s="65">
        <v>62500</v>
      </c>
      <c r="I29" s="65"/>
    </row>
    <row r="30" spans="1:11">
      <c r="A30" s="66" t="s">
        <v>46</v>
      </c>
      <c r="B30" s="63" t="s">
        <v>114</v>
      </c>
      <c r="C30" s="64">
        <f t="shared" si="0"/>
        <v>180000</v>
      </c>
      <c r="D30" s="65">
        <v>174200</v>
      </c>
      <c r="E30" s="65">
        <f>4000-1500</f>
        <v>2500</v>
      </c>
      <c r="F30" s="65"/>
      <c r="G30" s="68"/>
      <c r="H30" s="68">
        <f>5500-2200</f>
        <v>3300</v>
      </c>
      <c r="I30" s="68"/>
    </row>
    <row r="31" spans="1:11">
      <c r="A31" s="66" t="s">
        <v>47</v>
      </c>
      <c r="B31" s="63" t="s">
        <v>20</v>
      </c>
      <c r="C31" s="64">
        <f t="shared" si="0"/>
        <v>451900</v>
      </c>
      <c r="D31" s="65">
        <f>402000+300</f>
        <v>402300</v>
      </c>
      <c r="E31" s="65">
        <f>15500+1500</f>
        <v>17000</v>
      </c>
      <c r="F31" s="65"/>
      <c r="G31" s="65"/>
      <c r="H31" s="65">
        <f>22100+10500</f>
        <v>32600</v>
      </c>
      <c r="I31" s="65"/>
    </row>
    <row r="32" spans="1:11" ht="25.5">
      <c r="A32" s="66" t="s">
        <v>48</v>
      </c>
      <c r="B32" s="63" t="s">
        <v>109</v>
      </c>
      <c r="C32" s="64">
        <f t="shared" si="0"/>
        <v>197800</v>
      </c>
      <c r="D32" s="65">
        <v>187300</v>
      </c>
      <c r="E32" s="65">
        <v>7600</v>
      </c>
      <c r="F32" s="65"/>
      <c r="G32" s="68">
        <v>200</v>
      </c>
      <c r="H32" s="68">
        <f>11000-8300</f>
        <v>2700</v>
      </c>
      <c r="I32" s="68"/>
    </row>
    <row r="33" spans="1:12" ht="12.75" customHeight="1">
      <c r="A33" s="66" t="s">
        <v>49</v>
      </c>
      <c r="B33" s="63" t="s">
        <v>25</v>
      </c>
      <c r="C33" s="64">
        <f t="shared" si="0"/>
        <v>571300</v>
      </c>
      <c r="D33" s="65">
        <f>479500+1400+7100</f>
        <v>488000</v>
      </c>
      <c r="E33" s="65">
        <v>23100</v>
      </c>
      <c r="F33" s="65"/>
      <c r="G33" s="68">
        <v>200</v>
      </c>
      <c r="H33" s="68">
        <v>60000</v>
      </c>
      <c r="I33" s="68"/>
    </row>
    <row r="34" spans="1:12">
      <c r="A34" s="66" t="s">
        <v>50</v>
      </c>
      <c r="B34" s="63" t="s">
        <v>127</v>
      </c>
      <c r="C34" s="64">
        <f t="shared" si="0"/>
        <v>212200</v>
      </c>
      <c r="D34" s="65">
        <v>143600</v>
      </c>
      <c r="E34" s="65">
        <v>57900</v>
      </c>
      <c r="F34" s="65"/>
      <c r="G34" s="68">
        <v>100</v>
      </c>
      <c r="H34" s="68">
        <f>2000+8600</f>
        <v>10600</v>
      </c>
      <c r="I34" s="68"/>
    </row>
    <row r="35" spans="1:12">
      <c r="A35" s="66" t="s">
        <v>51</v>
      </c>
      <c r="B35" s="69" t="s">
        <v>22</v>
      </c>
      <c r="C35" s="79">
        <f t="shared" si="0"/>
        <v>222600</v>
      </c>
      <c r="D35" s="65">
        <f>210000+4200+2500</f>
        <v>216700</v>
      </c>
      <c r="E35" s="65"/>
      <c r="F35" s="65">
        <v>1900</v>
      </c>
      <c r="G35" s="71">
        <v>2500</v>
      </c>
      <c r="H35" s="71">
        <v>1500</v>
      </c>
      <c r="I35" s="71"/>
    </row>
    <row r="36" spans="1:12" ht="25.5">
      <c r="A36" s="66" t="s">
        <v>52</v>
      </c>
      <c r="B36" s="78" t="s">
        <v>108</v>
      </c>
      <c r="C36" s="80">
        <f t="shared" si="0"/>
        <v>778200</v>
      </c>
      <c r="D36" s="65">
        <f>738700+4000-8000</f>
        <v>734700</v>
      </c>
      <c r="E36" s="65"/>
      <c r="F36" s="65"/>
      <c r="G36" s="81">
        <f>9900+30100+3200</f>
        <v>43200</v>
      </c>
      <c r="H36" s="81">
        <v>300</v>
      </c>
      <c r="I36" s="81"/>
    </row>
    <row r="37" spans="1:12">
      <c r="A37" s="66" t="s">
        <v>53</v>
      </c>
      <c r="B37" s="69" t="s">
        <v>26</v>
      </c>
      <c r="C37" s="80">
        <f t="shared" si="0"/>
        <v>510600</v>
      </c>
      <c r="D37" s="65">
        <f>470100+5800+800</f>
        <v>476700</v>
      </c>
      <c r="E37" s="65"/>
      <c r="F37" s="65"/>
      <c r="G37" s="73">
        <f>4600+3900+1600+1900+8000+400</f>
        <v>20400</v>
      </c>
      <c r="H37" s="73">
        <v>13500</v>
      </c>
      <c r="I37" s="73"/>
    </row>
    <row r="38" spans="1:12">
      <c r="A38" s="66" t="s">
        <v>54</v>
      </c>
      <c r="B38" s="69" t="s">
        <v>70</v>
      </c>
      <c r="C38" s="80">
        <f t="shared" si="0"/>
        <v>82300</v>
      </c>
      <c r="D38" s="65">
        <v>81000</v>
      </c>
      <c r="E38" s="65"/>
      <c r="F38" s="65"/>
      <c r="G38" s="73">
        <f>1000+100+100</f>
        <v>1200</v>
      </c>
      <c r="H38" s="73">
        <v>100</v>
      </c>
      <c r="I38" s="73"/>
    </row>
    <row r="39" spans="1:12">
      <c r="A39" s="66" t="s">
        <v>55</v>
      </c>
      <c r="B39" s="69" t="s">
        <v>23</v>
      </c>
      <c r="C39" s="80">
        <f t="shared" si="0"/>
        <v>76100</v>
      </c>
      <c r="D39" s="65">
        <v>74600</v>
      </c>
      <c r="E39" s="65"/>
      <c r="F39" s="65"/>
      <c r="G39" s="73">
        <f>1000+100</f>
        <v>1100</v>
      </c>
      <c r="H39" s="73">
        <v>400</v>
      </c>
      <c r="I39" s="73"/>
    </row>
    <row r="40" spans="1:12">
      <c r="A40" s="66" t="s">
        <v>56</v>
      </c>
      <c r="B40" s="69" t="s">
        <v>102</v>
      </c>
      <c r="C40" s="80">
        <f t="shared" si="0"/>
        <v>81900</v>
      </c>
      <c r="D40" s="65">
        <f>77100+3500</f>
        <v>80600</v>
      </c>
      <c r="E40" s="65"/>
      <c r="F40" s="65"/>
      <c r="G40" s="73">
        <v>1000</v>
      </c>
      <c r="H40" s="73">
        <v>300</v>
      </c>
      <c r="I40" s="73"/>
    </row>
    <row r="41" spans="1:12">
      <c r="A41" s="66" t="s">
        <v>57</v>
      </c>
      <c r="B41" s="69" t="s">
        <v>24</v>
      </c>
      <c r="C41" s="80">
        <f t="shared" si="0"/>
        <v>104600</v>
      </c>
      <c r="D41" s="65">
        <v>102700</v>
      </c>
      <c r="E41" s="65"/>
      <c r="F41" s="65"/>
      <c r="G41" s="73">
        <f>1000+800</f>
        <v>1800</v>
      </c>
      <c r="H41" s="73">
        <v>100</v>
      </c>
      <c r="I41" s="73"/>
    </row>
    <row r="42" spans="1:12">
      <c r="A42" s="66" t="s">
        <v>58</v>
      </c>
      <c r="B42" s="77" t="s">
        <v>101</v>
      </c>
      <c r="C42" s="80">
        <f t="shared" si="0"/>
        <v>294200</v>
      </c>
      <c r="D42" s="65">
        <f>30600+800</f>
        <v>31400</v>
      </c>
      <c r="E42" s="65"/>
      <c r="F42" s="65">
        <v>259600</v>
      </c>
      <c r="G42" s="72">
        <v>200</v>
      </c>
      <c r="H42" s="72">
        <v>3000</v>
      </c>
      <c r="I42" s="72"/>
      <c r="L42" s="56"/>
    </row>
    <row r="43" spans="1:12">
      <c r="A43" s="66" t="s">
        <v>91</v>
      </c>
      <c r="B43" s="74" t="s">
        <v>103</v>
      </c>
      <c r="C43" s="64">
        <f t="shared" si="0"/>
        <v>92100</v>
      </c>
      <c r="D43" s="65">
        <v>92100</v>
      </c>
      <c r="E43" s="65"/>
      <c r="F43" s="65"/>
      <c r="G43" s="72"/>
      <c r="H43" s="72"/>
      <c r="I43" s="72"/>
    </row>
    <row r="44" spans="1:12">
      <c r="A44" s="66" t="s">
        <v>92</v>
      </c>
      <c r="B44" s="74" t="s">
        <v>107</v>
      </c>
      <c r="C44" s="64">
        <f t="shared" si="0"/>
        <v>840800</v>
      </c>
      <c r="D44" s="65">
        <v>95300</v>
      </c>
      <c r="E44" s="65"/>
      <c r="F44" s="65">
        <f>666100+62400</f>
        <v>728500</v>
      </c>
      <c r="G44" s="72">
        <f>0+17000</f>
        <v>17000</v>
      </c>
      <c r="H44" s="72"/>
      <c r="I44" s="72"/>
    </row>
    <row r="45" spans="1:12" ht="25.5">
      <c r="A45" s="66" t="s">
        <v>93</v>
      </c>
      <c r="B45" s="74" t="s">
        <v>104</v>
      </c>
      <c r="C45" s="64">
        <f t="shared" si="0"/>
        <v>437500</v>
      </c>
      <c r="D45" s="65">
        <f>285400+69700+82400</f>
        <v>437500</v>
      </c>
      <c r="E45" s="65"/>
      <c r="F45" s="65"/>
      <c r="G45" s="72"/>
      <c r="H45" s="72"/>
      <c r="I45" s="72"/>
    </row>
    <row r="46" spans="1:12">
      <c r="A46" s="66" t="s">
        <v>94</v>
      </c>
      <c r="B46" s="74" t="s">
        <v>65</v>
      </c>
      <c r="C46" s="64">
        <f t="shared" si="0"/>
        <v>1067600</v>
      </c>
      <c r="D46" s="65">
        <f>437100+1900+8000</f>
        <v>447000</v>
      </c>
      <c r="E46" s="65"/>
      <c r="F46" s="65">
        <f>514200+6600</f>
        <v>520800</v>
      </c>
      <c r="G46" s="72">
        <f>7200+28200+1100+23300</f>
        <v>59800</v>
      </c>
      <c r="H46" s="72">
        <f>30000+10000</f>
        <v>40000</v>
      </c>
      <c r="I46" s="72"/>
    </row>
    <row r="47" spans="1:12">
      <c r="A47" s="66" t="s">
        <v>95</v>
      </c>
      <c r="B47" s="74" t="s">
        <v>128</v>
      </c>
      <c r="C47" s="64">
        <f t="shared" si="0"/>
        <v>692900</v>
      </c>
      <c r="D47" s="65">
        <v>650000</v>
      </c>
      <c r="E47" s="65"/>
      <c r="F47" s="65"/>
      <c r="G47" s="72">
        <f>10700+4800+25600</f>
        <v>41100</v>
      </c>
      <c r="H47" s="72">
        <v>1800</v>
      </c>
      <c r="I47" s="72"/>
    </row>
    <row r="48" spans="1:12">
      <c r="A48" s="75" t="s">
        <v>96</v>
      </c>
      <c r="B48" s="74" t="s">
        <v>30</v>
      </c>
      <c r="C48" s="64">
        <f t="shared" si="0"/>
        <v>1621900</v>
      </c>
      <c r="D48" s="65">
        <f>155800+50000</f>
        <v>205800</v>
      </c>
      <c r="E48" s="65"/>
      <c r="F48" s="65">
        <v>216000</v>
      </c>
      <c r="G48" s="72">
        <f>114600+12600+7100+14100+17700</f>
        <v>166100</v>
      </c>
      <c r="H48" s="72">
        <v>1034000</v>
      </c>
      <c r="I48" s="72"/>
    </row>
    <row r="49" spans="1:9">
      <c r="A49" s="75" t="s">
        <v>97</v>
      </c>
      <c r="B49" s="74" t="s">
        <v>200</v>
      </c>
      <c r="C49" s="64">
        <f t="shared" si="0"/>
        <v>13330800</v>
      </c>
      <c r="D49" s="72">
        <f>8133200+106100-28700-69700-10000-44700+545300+117900+2600</f>
        <v>8752000</v>
      </c>
      <c r="E49" s="72">
        <f>21700-4400</f>
        <v>17300</v>
      </c>
      <c r="F49" s="72">
        <f>1022700+27100</f>
        <v>1049800</v>
      </c>
      <c r="G49" s="72">
        <f>35500+125300+1475600+18700+5100+69700+3900+361500+299300+80600+3500</f>
        <v>2478700</v>
      </c>
      <c r="H49" s="72">
        <f>65000+800</f>
        <v>65800</v>
      </c>
      <c r="I49" s="72">
        <f>8400+367000+45000+93100+74700+291900+87100</f>
        <v>967200</v>
      </c>
    </row>
    <row r="50" spans="1:9">
      <c r="A50" s="66"/>
      <c r="B50" s="76" t="s">
        <v>157</v>
      </c>
      <c r="C50" s="64">
        <f t="shared" si="0"/>
        <v>13300</v>
      </c>
      <c r="D50" s="73">
        <f>12500+800</f>
        <v>13300</v>
      </c>
      <c r="E50" s="73"/>
      <c r="F50" s="73"/>
      <c r="G50" s="73"/>
      <c r="H50" s="30"/>
      <c r="I50" s="73"/>
    </row>
    <row r="51" spans="1:9">
      <c r="A51" s="20"/>
      <c r="B51" s="46" t="s">
        <v>71</v>
      </c>
      <c r="C51" s="16">
        <f t="shared" ref="C51:I51" si="1">C16+C17+C18+C19+C20+C21+C22+C23+C24+C25+C26+C27+C28+C29+C30+C31+C32+C33+C34+C35+C36+C37+C38+C39+C40+C41+C42+C43+C44+C45+C46+C47+C48+C49</f>
        <v>34354600</v>
      </c>
      <c r="D51" s="16">
        <f t="shared" si="1"/>
        <v>17991200</v>
      </c>
      <c r="E51" s="16">
        <f t="shared" si="1"/>
        <v>7614100</v>
      </c>
      <c r="F51" s="16">
        <f t="shared" si="1"/>
        <v>3123200</v>
      </c>
      <c r="G51" s="16">
        <f t="shared" si="1"/>
        <v>3030900</v>
      </c>
      <c r="H51" s="16">
        <f t="shared" si="1"/>
        <v>1628000</v>
      </c>
      <c r="I51" s="16">
        <f t="shared" si="1"/>
        <v>967200</v>
      </c>
    </row>
    <row r="52" spans="1:9">
      <c r="A52" s="90"/>
      <c r="B52" s="90"/>
      <c r="C52" s="90"/>
      <c r="D52" s="90"/>
      <c r="E52" s="90"/>
      <c r="F52" s="90"/>
      <c r="G52" s="90"/>
      <c r="H52" s="90"/>
      <c r="I52" s="90"/>
    </row>
    <row r="53" spans="1:9">
      <c r="A53" s="92" t="s">
        <v>18</v>
      </c>
      <c r="B53" s="92"/>
      <c r="C53" s="92"/>
      <c r="D53" s="92"/>
      <c r="E53" s="92"/>
      <c r="F53" s="92"/>
      <c r="G53" s="92"/>
      <c r="H53" s="92"/>
      <c r="I53" s="92"/>
    </row>
    <row r="54" spans="1:9">
      <c r="A54" s="31"/>
      <c r="B54" s="31"/>
      <c r="C54" s="31"/>
      <c r="D54" s="31"/>
      <c r="E54" s="31"/>
      <c r="F54" s="31"/>
      <c r="G54" s="31"/>
      <c r="H54" s="31"/>
      <c r="I54" s="31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  <row r="56" spans="1:9">
      <c r="A56" s="31"/>
      <c r="B56" s="31"/>
      <c r="C56" s="31"/>
      <c r="D56" s="31"/>
      <c r="E56" s="31"/>
      <c r="F56" s="31"/>
      <c r="G56" s="31"/>
      <c r="H56" s="31"/>
      <c r="I56" s="31"/>
    </row>
    <row r="57" spans="1:9">
      <c r="A57" s="31"/>
      <c r="B57" s="31"/>
      <c r="C57" s="31"/>
      <c r="D57" s="31"/>
      <c r="E57" s="31"/>
      <c r="F57" s="31"/>
      <c r="G57" s="31"/>
      <c r="H57" s="31"/>
      <c r="I57" s="31"/>
    </row>
    <row r="58" spans="1:9">
      <c r="A58" s="31"/>
      <c r="B58" s="31"/>
      <c r="C58" s="31"/>
      <c r="D58" s="31"/>
      <c r="E58" s="31"/>
      <c r="F58" s="31"/>
      <c r="G58" s="31"/>
      <c r="H58" s="31"/>
      <c r="I58" s="31"/>
    </row>
    <row r="59" spans="1:9">
      <c r="A59" s="31"/>
      <c r="B59" s="31"/>
      <c r="C59" s="31"/>
      <c r="D59" s="31"/>
      <c r="E59" s="31"/>
      <c r="F59" s="31"/>
      <c r="G59" s="31"/>
      <c r="H59" s="31"/>
      <c r="I59" s="31"/>
    </row>
    <row r="60" spans="1:9">
      <c r="A60" s="31"/>
      <c r="B60" s="31"/>
      <c r="C60" s="31"/>
      <c r="D60" s="31"/>
      <c r="E60" s="31"/>
      <c r="F60" s="31"/>
      <c r="G60" s="31"/>
      <c r="H60" s="31"/>
      <c r="I60" s="31"/>
    </row>
    <row r="61" spans="1:9">
      <c r="A61" s="31"/>
      <c r="B61" s="31"/>
      <c r="C61" s="31"/>
      <c r="D61" s="31"/>
      <c r="E61" s="31"/>
      <c r="F61" s="31"/>
      <c r="G61" s="31"/>
      <c r="H61" s="31"/>
      <c r="I61" s="31"/>
    </row>
    <row r="62" spans="1:9">
      <c r="A62" s="31"/>
      <c r="B62" s="31"/>
      <c r="C62" s="31"/>
      <c r="D62" s="31"/>
      <c r="E62" s="31"/>
      <c r="F62" s="31"/>
      <c r="G62" s="31"/>
      <c r="H62" s="31"/>
      <c r="I62" s="31"/>
    </row>
    <row r="63" spans="1:9">
      <c r="A63" s="31"/>
      <c r="B63" s="31"/>
      <c r="C63" s="31"/>
      <c r="D63" s="31"/>
      <c r="E63" s="31"/>
      <c r="F63" s="31"/>
      <c r="G63" s="31"/>
      <c r="H63" s="31"/>
      <c r="I63" s="31"/>
    </row>
    <row r="64" spans="1:9">
      <c r="A64" s="31"/>
      <c r="B64" s="31"/>
      <c r="C64" s="31"/>
      <c r="D64" s="31"/>
      <c r="E64" s="31"/>
      <c r="F64" s="31"/>
      <c r="G64" s="31"/>
      <c r="H64" s="31"/>
      <c r="I64" s="31"/>
    </row>
    <row r="65" spans="1:9">
      <c r="A65" s="31"/>
      <c r="B65" s="31"/>
      <c r="C65" s="31"/>
      <c r="D65" s="31"/>
      <c r="E65" s="31"/>
      <c r="F65" s="31"/>
      <c r="G65" s="31"/>
      <c r="H65" s="31"/>
      <c r="I65" s="31"/>
    </row>
    <row r="66" spans="1:9">
      <c r="A66" s="31"/>
      <c r="B66" s="31"/>
      <c r="C66" s="31"/>
      <c r="D66" s="31"/>
      <c r="E66" s="31"/>
      <c r="F66" s="31"/>
      <c r="G66" s="31"/>
      <c r="H66" s="31"/>
      <c r="I66" s="31"/>
    </row>
    <row r="67" spans="1:9">
      <c r="A67" s="31"/>
      <c r="B67" s="31"/>
      <c r="C67" s="31"/>
      <c r="D67" s="31"/>
      <c r="E67" s="31"/>
      <c r="F67" s="31"/>
      <c r="G67" s="31"/>
      <c r="H67" s="31"/>
      <c r="I67" s="31"/>
    </row>
    <row r="68" spans="1:9">
      <c r="A68" s="31"/>
      <c r="B68" s="31"/>
      <c r="C68" s="31"/>
      <c r="D68" s="31"/>
      <c r="E68" s="31"/>
      <c r="F68" s="31"/>
      <c r="G68" s="31"/>
      <c r="H68" s="31"/>
      <c r="I68" s="31"/>
    </row>
    <row r="69" spans="1:9">
      <c r="A69" s="31"/>
      <c r="B69" s="31"/>
      <c r="C69" s="31"/>
      <c r="D69" s="31"/>
      <c r="E69" s="31"/>
      <c r="F69" s="31"/>
      <c r="G69" s="31"/>
      <c r="H69" s="31"/>
      <c r="I69" s="31"/>
    </row>
    <row r="70" spans="1:9">
      <c r="A70" s="31"/>
      <c r="B70" s="31"/>
      <c r="C70" s="31"/>
      <c r="D70" s="31"/>
      <c r="E70" s="31"/>
      <c r="F70" s="31"/>
      <c r="G70" s="31"/>
      <c r="H70" s="31"/>
      <c r="I70" s="31"/>
    </row>
    <row r="71" spans="1:9">
      <c r="A71" s="31"/>
      <c r="B71" s="31"/>
      <c r="C71" s="31"/>
      <c r="D71" s="31"/>
      <c r="E71" s="31"/>
      <c r="F71" s="31"/>
      <c r="G71" s="31"/>
      <c r="H71" s="31"/>
      <c r="I71" s="31"/>
    </row>
    <row r="72" spans="1:9">
      <c r="A72" s="31"/>
      <c r="B72" s="31"/>
      <c r="C72" s="31"/>
      <c r="D72" s="31"/>
      <c r="E72" s="31"/>
      <c r="F72" s="31"/>
      <c r="G72" s="31"/>
      <c r="H72" s="31"/>
      <c r="I72" s="31"/>
    </row>
    <row r="73" spans="1:9">
      <c r="A73" s="31"/>
      <c r="B73" s="31"/>
      <c r="C73" s="31"/>
      <c r="D73" s="31"/>
      <c r="E73" s="31"/>
      <c r="F73" s="31"/>
      <c r="G73" s="31"/>
      <c r="H73" s="31"/>
      <c r="I73" s="31"/>
    </row>
    <row r="74" spans="1:9">
      <c r="A74" s="31"/>
      <c r="B74" s="31"/>
      <c r="C74" s="31"/>
      <c r="D74" s="31"/>
      <c r="E74" s="31"/>
      <c r="F74" s="31"/>
      <c r="G74" s="31"/>
      <c r="H74" s="31"/>
      <c r="I74" s="31"/>
    </row>
    <row r="75" spans="1:9">
      <c r="A75" s="31"/>
      <c r="B75" s="31"/>
      <c r="C75" s="31"/>
      <c r="D75" s="31"/>
      <c r="E75" s="31"/>
      <c r="F75" s="31"/>
      <c r="G75" s="31"/>
      <c r="H75" s="31"/>
      <c r="I75" s="31"/>
    </row>
    <row r="76" spans="1:9">
      <c r="A76" s="31"/>
      <c r="B76" s="31"/>
      <c r="C76" s="31"/>
      <c r="D76" s="31"/>
      <c r="E76" s="31"/>
      <c r="F76" s="31"/>
      <c r="G76" s="31"/>
      <c r="H76" s="31"/>
      <c r="I76" s="31"/>
    </row>
    <row r="77" spans="1:9">
      <c r="A77" s="31"/>
      <c r="B77" s="31"/>
      <c r="C77" s="31"/>
      <c r="D77" s="31"/>
      <c r="E77" s="31"/>
      <c r="F77" s="31"/>
      <c r="G77" s="31"/>
      <c r="H77" s="31"/>
      <c r="I77" s="31"/>
    </row>
    <row r="78" spans="1:9">
      <c r="A78" s="31"/>
      <c r="B78" s="31"/>
      <c r="C78" s="31"/>
      <c r="D78" s="31"/>
      <c r="E78" s="31"/>
      <c r="F78" s="31"/>
      <c r="G78" s="31"/>
      <c r="H78" s="31"/>
      <c r="I78" s="31"/>
    </row>
    <row r="79" spans="1:9">
      <c r="A79" s="31"/>
      <c r="B79" s="31"/>
      <c r="C79" s="31"/>
      <c r="D79" s="31"/>
      <c r="E79" s="31"/>
      <c r="F79" s="31"/>
      <c r="G79" s="31"/>
      <c r="H79" s="31"/>
      <c r="I79" s="31"/>
    </row>
    <row r="80" spans="1:9">
      <c r="A80" s="31"/>
      <c r="B80" s="31"/>
      <c r="C80" s="31"/>
      <c r="D80" s="31"/>
      <c r="E80" s="31"/>
      <c r="F80" s="31"/>
      <c r="G80" s="31"/>
      <c r="H80" s="31"/>
      <c r="I80" s="31"/>
    </row>
    <row r="81" spans="1:9">
      <c r="A81" s="31"/>
      <c r="B81" s="31"/>
      <c r="C81" s="31"/>
      <c r="D81" s="31"/>
      <c r="E81" s="31"/>
      <c r="F81" s="31"/>
      <c r="G81" s="31"/>
      <c r="H81" s="31"/>
      <c r="I81" s="31"/>
    </row>
    <row r="82" spans="1:9">
      <c r="A82" s="31"/>
      <c r="B82" s="31"/>
      <c r="C82" s="31"/>
      <c r="D82" s="31"/>
      <c r="E82" s="31"/>
      <c r="F82" s="31"/>
      <c r="G82" s="31"/>
      <c r="H82" s="31"/>
      <c r="I82" s="31"/>
    </row>
    <row r="83" spans="1:9">
      <c r="A83" s="31"/>
      <c r="B83" s="31"/>
      <c r="C83" s="31"/>
      <c r="D83" s="31"/>
      <c r="E83" s="31"/>
      <c r="F83" s="31"/>
      <c r="G83" s="31"/>
      <c r="H83" s="31"/>
      <c r="I83" s="31"/>
    </row>
    <row r="84" spans="1:9">
      <c r="A84" s="31"/>
      <c r="B84" s="31"/>
      <c r="C84" s="31"/>
      <c r="D84" s="31"/>
      <c r="E84" s="31"/>
      <c r="F84" s="31"/>
      <c r="G84" s="31"/>
      <c r="H84" s="31"/>
      <c r="I84" s="31"/>
    </row>
    <row r="85" spans="1:9">
      <c r="A85" s="31"/>
      <c r="B85" s="31"/>
      <c r="C85" s="31"/>
      <c r="D85" s="31"/>
      <c r="E85" s="31"/>
      <c r="F85" s="31"/>
      <c r="G85" s="31"/>
      <c r="H85" s="31"/>
      <c r="I85" s="31"/>
    </row>
    <row r="86" spans="1:9">
      <c r="A86" s="31"/>
      <c r="B86" s="31"/>
      <c r="C86" s="31"/>
      <c r="D86" s="31"/>
      <c r="E86" s="31"/>
      <c r="F86" s="31"/>
      <c r="G86" s="31"/>
      <c r="H86" s="31"/>
      <c r="I86" s="31"/>
    </row>
    <row r="87" spans="1:9">
      <c r="A87" s="31"/>
      <c r="B87" s="31"/>
      <c r="C87" s="31"/>
      <c r="D87" s="31"/>
      <c r="E87" s="31"/>
      <c r="F87" s="31"/>
      <c r="G87" s="31"/>
      <c r="H87" s="31"/>
      <c r="I87" s="31"/>
    </row>
    <row r="88" spans="1:9">
      <c r="A88" s="31"/>
      <c r="B88" s="31"/>
      <c r="C88" s="31"/>
      <c r="D88" s="31"/>
      <c r="E88" s="31"/>
      <c r="F88" s="31"/>
      <c r="G88" s="31"/>
      <c r="H88" s="31"/>
      <c r="I88" s="31"/>
    </row>
    <row r="89" spans="1:9">
      <c r="A89" s="31"/>
      <c r="B89" s="31"/>
      <c r="C89" s="31"/>
      <c r="D89" s="31"/>
      <c r="E89" s="31"/>
      <c r="F89" s="31"/>
      <c r="G89" s="31"/>
      <c r="H89" s="31"/>
      <c r="I89" s="31"/>
    </row>
    <row r="90" spans="1:9">
      <c r="A90" s="31"/>
      <c r="B90" s="31"/>
      <c r="C90" s="31"/>
      <c r="D90" s="31"/>
      <c r="E90" s="31"/>
      <c r="F90" s="31"/>
      <c r="G90" s="31"/>
      <c r="H90" s="31"/>
      <c r="I90" s="31"/>
    </row>
    <row r="91" spans="1:9">
      <c r="A91" s="31"/>
      <c r="B91" s="31"/>
      <c r="C91" s="31"/>
      <c r="D91" s="31"/>
      <c r="E91" s="31"/>
      <c r="F91" s="31"/>
      <c r="G91" s="31"/>
      <c r="H91" s="31"/>
      <c r="I91" s="31"/>
    </row>
    <row r="92" spans="1:9">
      <c r="A92" s="31"/>
      <c r="B92" s="31"/>
      <c r="C92" s="31"/>
      <c r="D92" s="31"/>
      <c r="E92" s="31"/>
      <c r="F92" s="31"/>
      <c r="G92" s="31"/>
      <c r="H92" s="31"/>
      <c r="I92" s="31"/>
    </row>
    <row r="93" spans="1:9">
      <c r="A93" s="31"/>
      <c r="B93" s="31"/>
      <c r="C93" s="31"/>
      <c r="D93" s="31"/>
      <c r="E93" s="31"/>
      <c r="F93" s="31"/>
      <c r="G93" s="31"/>
      <c r="H93" s="31"/>
      <c r="I93" s="31"/>
    </row>
    <row r="94" spans="1:9">
      <c r="A94" s="31"/>
      <c r="B94" s="31"/>
      <c r="C94" s="31"/>
      <c r="D94" s="31"/>
      <c r="E94" s="31"/>
      <c r="F94" s="31"/>
      <c r="G94" s="31"/>
      <c r="H94" s="31"/>
      <c r="I94" s="31"/>
    </row>
    <row r="95" spans="1:9">
      <c r="A95" s="31"/>
      <c r="B95" s="31"/>
      <c r="C95" s="31"/>
      <c r="D95" s="31"/>
      <c r="E95" s="31"/>
      <c r="F95" s="31"/>
      <c r="G95" s="31"/>
      <c r="H95" s="31"/>
      <c r="I95" s="31"/>
    </row>
    <row r="96" spans="1:9">
      <c r="A96" s="31"/>
      <c r="B96" s="31"/>
      <c r="C96" s="31"/>
      <c r="D96" s="31"/>
      <c r="E96" s="31"/>
      <c r="F96" s="31"/>
      <c r="G96" s="31"/>
      <c r="H96" s="31"/>
      <c r="I96" s="31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>
      <c r="A98" s="31"/>
      <c r="B98" s="31"/>
      <c r="C98" s="31"/>
      <c r="D98" s="31"/>
      <c r="E98" s="31"/>
      <c r="F98" s="31"/>
      <c r="G98" s="31"/>
      <c r="H98" s="31"/>
      <c r="I98" s="31"/>
    </row>
    <row r="99" spans="1:9">
      <c r="A99" s="31"/>
      <c r="B99" s="31"/>
      <c r="C99" s="31"/>
      <c r="D99" s="31"/>
      <c r="E99" s="31"/>
      <c r="F99" s="31"/>
      <c r="G99" s="31"/>
      <c r="H99" s="31"/>
      <c r="I99" s="31"/>
    </row>
    <row r="100" spans="1:9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>
      <c r="A133" s="31"/>
      <c r="B133" s="31"/>
      <c r="C133" s="31"/>
      <c r="D133" s="31"/>
      <c r="E133" s="31"/>
      <c r="F133" s="31"/>
      <c r="G133" s="31"/>
      <c r="H133" s="31"/>
      <c r="I133" s="31"/>
    </row>
  </sheetData>
  <mergeCells count="15">
    <mergeCell ref="F1:H1"/>
    <mergeCell ref="F2:H2"/>
    <mergeCell ref="F3:H3"/>
    <mergeCell ref="F4:H4"/>
    <mergeCell ref="A12:A14"/>
    <mergeCell ref="B12:B14"/>
    <mergeCell ref="C12:I12"/>
    <mergeCell ref="A10:I10"/>
    <mergeCell ref="C13:C14"/>
    <mergeCell ref="D13:I13"/>
    <mergeCell ref="C11:I11"/>
    <mergeCell ref="A52:I52"/>
    <mergeCell ref="A53:I53"/>
    <mergeCell ref="A9:I9"/>
    <mergeCell ref="F7:H7"/>
  </mergeCells>
  <pageMargins left="0.78740157480314965" right="0.39370078740157483" top="0.39370078740157483" bottom="0.39370078740157483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="135" zoomScaleNormal="135" workbookViewId="0">
      <selection activeCell="E7" sqref="E7:G7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19"/>
      <c r="E1" s="88" t="s">
        <v>5</v>
      </c>
      <c r="F1" s="88"/>
      <c r="G1" s="88"/>
    </row>
    <row r="2" spans="1:8" ht="14.1" customHeight="1">
      <c r="A2" s="3"/>
      <c r="B2" s="3"/>
      <c r="C2" s="3"/>
      <c r="D2" s="19"/>
      <c r="E2" s="88" t="s">
        <v>136</v>
      </c>
      <c r="F2" s="88"/>
      <c r="G2" s="88"/>
    </row>
    <row r="3" spans="1:8" ht="14.1" customHeight="1">
      <c r="A3" s="1"/>
      <c r="B3" s="2"/>
      <c r="C3" s="3"/>
      <c r="D3" s="19"/>
      <c r="E3" s="88" t="s">
        <v>159</v>
      </c>
      <c r="F3" s="88"/>
      <c r="G3" s="88"/>
    </row>
    <row r="4" spans="1:8" ht="14.1" customHeight="1">
      <c r="A4" s="1"/>
      <c r="B4" s="2"/>
      <c r="C4" s="8"/>
      <c r="D4" s="8"/>
      <c r="E4" s="89" t="s">
        <v>126</v>
      </c>
      <c r="F4" s="89"/>
      <c r="G4" s="89"/>
    </row>
    <row r="5" spans="1:8" ht="14.1" customHeight="1">
      <c r="A5" s="1"/>
      <c r="B5" s="2"/>
      <c r="C5" s="8"/>
      <c r="D5" s="8"/>
      <c r="E5" s="50" t="s">
        <v>158</v>
      </c>
      <c r="F5" s="50"/>
      <c r="G5" s="50"/>
    </row>
    <row r="6" spans="1:8" ht="14.1" customHeight="1">
      <c r="A6" s="1"/>
      <c r="B6" s="2"/>
      <c r="C6" s="8"/>
      <c r="D6" s="8"/>
      <c r="E6" s="8" t="s">
        <v>199</v>
      </c>
      <c r="F6" s="50"/>
      <c r="G6" s="50"/>
    </row>
    <row r="7" spans="1:8" ht="14.1" customHeight="1">
      <c r="A7" s="1"/>
      <c r="B7" s="2"/>
      <c r="C7" s="8"/>
      <c r="D7" s="8"/>
      <c r="E7" s="89" t="s">
        <v>201</v>
      </c>
      <c r="F7" s="89"/>
      <c r="G7" s="89"/>
    </row>
    <row r="8" spans="1:8" ht="12.75" customHeight="1">
      <c r="A8" s="1"/>
      <c r="B8" s="2"/>
      <c r="C8" s="3"/>
      <c r="D8" s="8"/>
      <c r="E8" s="8"/>
      <c r="F8" s="8"/>
      <c r="G8" s="8"/>
    </row>
    <row r="9" spans="1:8" ht="24.6" customHeight="1">
      <c r="A9" s="91" t="s">
        <v>139</v>
      </c>
      <c r="B9" s="91"/>
      <c r="C9" s="91"/>
      <c r="D9" s="91"/>
      <c r="E9" s="91"/>
      <c r="F9" s="91"/>
      <c r="G9" s="91"/>
      <c r="H9" s="23"/>
    </row>
    <row r="10" spans="1:8" ht="15" customHeight="1">
      <c r="A10" s="1"/>
      <c r="B10" s="2"/>
      <c r="C10" s="3"/>
      <c r="D10" s="121"/>
      <c r="E10" s="121"/>
      <c r="F10" s="93" t="s">
        <v>120</v>
      </c>
      <c r="G10" s="93"/>
      <c r="H10" s="18"/>
    </row>
    <row r="11" spans="1:8" ht="12.75" customHeight="1">
      <c r="A11" s="94" t="s">
        <v>0</v>
      </c>
      <c r="B11" s="112" t="s">
        <v>1</v>
      </c>
      <c r="C11" s="94" t="s">
        <v>60</v>
      </c>
      <c r="D11" s="97" t="s">
        <v>69</v>
      </c>
      <c r="E11" s="98"/>
      <c r="F11" s="98"/>
      <c r="G11" s="99"/>
    </row>
    <row r="12" spans="1:8" ht="12.75" customHeight="1">
      <c r="A12" s="95"/>
      <c r="B12" s="113"/>
      <c r="C12" s="95"/>
      <c r="D12" s="94" t="s">
        <v>2</v>
      </c>
      <c r="E12" s="101" t="s">
        <v>3</v>
      </c>
      <c r="F12" s="101"/>
      <c r="G12" s="102"/>
    </row>
    <row r="13" spans="1:8" ht="12.75" customHeight="1">
      <c r="A13" s="95"/>
      <c r="B13" s="113"/>
      <c r="C13" s="95"/>
      <c r="D13" s="95"/>
      <c r="E13" s="103" t="s">
        <v>67</v>
      </c>
      <c r="F13" s="103"/>
      <c r="G13" s="94" t="s">
        <v>19</v>
      </c>
    </row>
    <row r="14" spans="1:8" ht="24.75" customHeight="1">
      <c r="A14" s="100"/>
      <c r="B14" s="114"/>
      <c r="C14" s="100"/>
      <c r="D14" s="100"/>
      <c r="E14" s="33" t="s">
        <v>68</v>
      </c>
      <c r="F14" s="35" t="s">
        <v>6</v>
      </c>
      <c r="G14" s="100"/>
    </row>
    <row r="15" spans="1:8" ht="12" customHeight="1">
      <c r="A15" s="5">
        <v>1</v>
      </c>
      <c r="B15" s="27" t="s">
        <v>4</v>
      </c>
      <c r="C15" s="4">
        <v>3</v>
      </c>
      <c r="D15" s="4">
        <v>5</v>
      </c>
      <c r="E15" s="4">
        <v>6</v>
      </c>
      <c r="F15" s="4">
        <v>7</v>
      </c>
      <c r="G15" s="4">
        <v>8</v>
      </c>
    </row>
    <row r="16" spans="1:8" ht="25.5">
      <c r="A16" s="58" t="s">
        <v>32</v>
      </c>
      <c r="B16" s="118" t="s">
        <v>8</v>
      </c>
      <c r="C16" s="9" t="s">
        <v>9</v>
      </c>
      <c r="D16" s="29">
        <f>SUM(D17:D21)</f>
        <v>13932500</v>
      </c>
      <c r="E16" s="29">
        <f>SUM(E17:E21)</f>
        <v>13808100</v>
      </c>
      <c r="F16" s="29">
        <f>SUM(F17:F21)</f>
        <v>11659400</v>
      </c>
      <c r="G16" s="29">
        <f>SUM(G17:G21)</f>
        <v>124400</v>
      </c>
    </row>
    <row r="17" spans="1:7">
      <c r="A17" s="26" t="s">
        <v>75</v>
      </c>
      <c r="B17" s="119"/>
      <c r="C17" s="10" t="s">
        <v>61</v>
      </c>
      <c r="D17" s="11">
        <f>5437000+14000+52700+1300+11800</f>
        <v>5516800</v>
      </c>
      <c r="E17" s="11">
        <f>D17-G17</f>
        <v>5412800</v>
      </c>
      <c r="F17" s="11">
        <f>4257100-3900-8200-4200</f>
        <v>4240800</v>
      </c>
      <c r="G17" s="11">
        <f>37200+12000+52700+2100</f>
        <v>104000</v>
      </c>
    </row>
    <row r="18" spans="1:7">
      <c r="A18" s="26" t="s">
        <v>76</v>
      </c>
      <c r="B18" s="119"/>
      <c r="C18" s="10" t="s">
        <v>129</v>
      </c>
      <c r="D18" s="11">
        <v>7614100</v>
      </c>
      <c r="E18" s="11">
        <f>D18-G18</f>
        <v>7598700</v>
      </c>
      <c r="F18" s="11">
        <f>7253600-21500</f>
        <v>7232100</v>
      </c>
      <c r="G18" s="11">
        <v>15400</v>
      </c>
    </row>
    <row r="19" spans="1:7">
      <c r="A19" s="26" t="s">
        <v>77</v>
      </c>
      <c r="B19" s="119"/>
      <c r="C19" s="10" t="s">
        <v>121</v>
      </c>
      <c r="D19" s="21">
        <f>106600+129200+44500+8300+34600+2800</f>
        <v>326000</v>
      </c>
      <c r="E19" s="11">
        <f>D19-G19</f>
        <v>321000</v>
      </c>
      <c r="F19" s="21">
        <f>102500+44100+2300</f>
        <v>148900</v>
      </c>
      <c r="G19" s="21">
        <f>0+5000</f>
        <v>5000</v>
      </c>
    </row>
    <row r="20" spans="1:7">
      <c r="A20" s="26" t="s">
        <v>141</v>
      </c>
      <c r="B20" s="119"/>
      <c r="C20" s="10" t="s">
        <v>63</v>
      </c>
      <c r="D20" s="11">
        <f>443000+16700-1100+8600</f>
        <v>467200</v>
      </c>
      <c r="E20" s="11">
        <f>D20-G20</f>
        <v>467200</v>
      </c>
      <c r="F20" s="11">
        <v>37600</v>
      </c>
      <c r="G20" s="21"/>
    </row>
    <row r="21" spans="1:7">
      <c r="A21" s="26" t="s">
        <v>142</v>
      </c>
      <c r="B21" s="120"/>
      <c r="C21" s="10" t="s">
        <v>196</v>
      </c>
      <c r="D21" s="21">
        <v>8400</v>
      </c>
      <c r="E21" s="11">
        <f>D21-G21</f>
        <v>8400</v>
      </c>
      <c r="F21" s="21"/>
      <c r="G21" s="21"/>
    </row>
    <row r="22" spans="1:7" ht="25.5">
      <c r="A22" s="58" t="s">
        <v>33</v>
      </c>
      <c r="B22" s="115" t="s">
        <v>7</v>
      </c>
      <c r="C22" s="7" t="s">
        <v>14</v>
      </c>
      <c r="D22" s="30">
        <f>SUM(D23:D26)</f>
        <v>6437600</v>
      </c>
      <c r="E22" s="30">
        <f>SUM(E23:E26)</f>
        <v>6412600</v>
      </c>
      <c r="F22" s="30">
        <f>SUM(F23:F26)</f>
        <v>3040600</v>
      </c>
      <c r="G22" s="30">
        <f>SUM(G23:G26)</f>
        <v>25000</v>
      </c>
    </row>
    <row r="23" spans="1:7" ht="12" customHeight="1">
      <c r="A23" s="57" t="s">
        <v>78</v>
      </c>
      <c r="B23" s="116"/>
      <c r="C23" s="10" t="s">
        <v>61</v>
      </c>
      <c r="D23" s="47">
        <f>2560900+10000+358000</f>
        <v>2928900</v>
      </c>
      <c r="E23" s="11">
        <f>D23-G23</f>
        <v>2915900</v>
      </c>
      <c r="F23" s="47">
        <f>1131200+50000</f>
        <v>1181200</v>
      </c>
      <c r="G23" s="47">
        <v>13000</v>
      </c>
    </row>
    <row r="24" spans="1:7">
      <c r="A24" s="57" t="s">
        <v>79</v>
      </c>
      <c r="B24" s="116"/>
      <c r="C24" s="10" t="s">
        <v>121</v>
      </c>
      <c r="D24" s="14">
        <f>168000+59500+7100+24900+100000+94400+3500</f>
        <v>457400</v>
      </c>
      <c r="E24" s="11">
        <f>D24-G24</f>
        <v>457400</v>
      </c>
      <c r="F24" s="15">
        <f>111400+64700+7000+5300+48800</f>
        <v>237200</v>
      </c>
      <c r="G24" s="15"/>
    </row>
    <row r="25" spans="1:7" ht="12.75" customHeight="1">
      <c r="A25" s="57" t="s">
        <v>80</v>
      </c>
      <c r="B25" s="116"/>
      <c r="C25" s="10" t="s">
        <v>62</v>
      </c>
      <c r="D25" s="14">
        <f>1914200+58300</f>
        <v>1972500</v>
      </c>
      <c r="E25" s="11">
        <f>D25-G25</f>
        <v>1972500</v>
      </c>
      <c r="F25" s="49">
        <f>926300+6500</f>
        <v>932800</v>
      </c>
      <c r="G25" s="14"/>
    </row>
    <row r="26" spans="1:7">
      <c r="A26" s="26" t="s">
        <v>143</v>
      </c>
      <c r="B26" s="117"/>
      <c r="C26" s="10" t="s">
        <v>63</v>
      </c>
      <c r="D26" s="47">
        <f>1068800+10000</f>
        <v>1078800</v>
      </c>
      <c r="E26" s="11">
        <f>D26-G26</f>
        <v>1066800</v>
      </c>
      <c r="F26" s="47">
        <v>689400</v>
      </c>
      <c r="G26" s="47">
        <v>12000</v>
      </c>
    </row>
    <row r="27" spans="1:7" ht="25.5">
      <c r="A27" s="59" t="s">
        <v>34</v>
      </c>
      <c r="B27" s="115" t="s">
        <v>21</v>
      </c>
      <c r="C27" s="13" t="s">
        <v>135</v>
      </c>
      <c r="D27" s="37">
        <f>SUM(D28:D30)</f>
        <v>2267600</v>
      </c>
      <c r="E27" s="37">
        <f>SUM(E28:E30)</f>
        <v>2145300</v>
      </c>
      <c r="F27" s="37">
        <f>SUM(F28:F30)</f>
        <v>1391700</v>
      </c>
      <c r="G27" s="37">
        <f>SUM(G28:G30)</f>
        <v>122300</v>
      </c>
    </row>
    <row r="28" spans="1:7">
      <c r="A28" s="6" t="s">
        <v>81</v>
      </c>
      <c r="B28" s="116"/>
      <c r="C28" s="10" t="s">
        <v>121</v>
      </c>
      <c r="D28" s="14">
        <f>21000+30100+5000+2700+8000+18600</f>
        <v>85400</v>
      </c>
      <c r="E28" s="11">
        <f>D28-G28</f>
        <v>85400</v>
      </c>
      <c r="F28" s="15">
        <v>21000</v>
      </c>
      <c r="G28" s="15"/>
    </row>
    <row r="29" spans="1:7">
      <c r="A29" s="6" t="s">
        <v>82</v>
      </c>
      <c r="B29" s="116"/>
      <c r="C29" s="10" t="s">
        <v>61</v>
      </c>
      <c r="D29" s="14">
        <f>2147200+14000-8000+4300+2500+6000</f>
        <v>2166000</v>
      </c>
      <c r="E29" s="11">
        <f>D29-G29</f>
        <v>2046100</v>
      </c>
      <c r="F29" s="14">
        <v>1370700</v>
      </c>
      <c r="G29" s="14">
        <f>127900-8000</f>
        <v>119900</v>
      </c>
    </row>
    <row r="30" spans="1:7" ht="12.75" customHeight="1">
      <c r="A30" s="6" t="s">
        <v>83</v>
      </c>
      <c r="B30" s="117"/>
      <c r="C30" s="10" t="s">
        <v>63</v>
      </c>
      <c r="D30" s="14">
        <v>16200</v>
      </c>
      <c r="E30" s="11">
        <f>D30-G30</f>
        <v>13800</v>
      </c>
      <c r="F30" s="14"/>
      <c r="G30" s="14">
        <v>2400</v>
      </c>
    </row>
    <row r="31" spans="1:7" ht="36.75" customHeight="1">
      <c r="A31" s="58" t="s">
        <v>35</v>
      </c>
      <c r="B31" s="115" t="s">
        <v>15</v>
      </c>
      <c r="C31" s="13" t="s">
        <v>16</v>
      </c>
      <c r="D31" s="37">
        <f>SUM(D32:D35)</f>
        <v>4464800</v>
      </c>
      <c r="E31" s="37">
        <f>SUM(E32:E35)</f>
        <v>3955100</v>
      </c>
      <c r="F31" s="37">
        <f>SUM(F32:F35)</f>
        <v>2999200</v>
      </c>
      <c r="G31" s="37">
        <f>SUM(G32:G35)</f>
        <v>509700</v>
      </c>
    </row>
    <row r="32" spans="1:7">
      <c r="A32" s="26" t="s">
        <v>124</v>
      </c>
      <c r="B32" s="116"/>
      <c r="C32" s="10" t="s">
        <v>61</v>
      </c>
      <c r="D32" s="14">
        <f>3287400-10000+69700+82400+8000-7000</f>
        <v>3430500</v>
      </c>
      <c r="E32" s="11">
        <f>D32-G32</f>
        <v>2979800</v>
      </c>
      <c r="F32" s="14">
        <v>2248700</v>
      </c>
      <c r="G32" s="14">
        <f>304800-14200+69700+82400+8000</f>
        <v>450700</v>
      </c>
    </row>
    <row r="33" spans="1:7">
      <c r="A33" s="26" t="s">
        <v>132</v>
      </c>
      <c r="B33" s="116"/>
      <c r="C33" s="10" t="s">
        <v>62</v>
      </c>
      <c r="D33" s="14">
        <f>773200+62400</f>
        <v>835600</v>
      </c>
      <c r="E33" s="11">
        <f>D33-G33</f>
        <v>835600</v>
      </c>
      <c r="F33" s="14">
        <f>740500+10000</f>
        <v>750500</v>
      </c>
      <c r="G33" s="14"/>
    </row>
    <row r="34" spans="1:7">
      <c r="A34" s="26" t="s">
        <v>133</v>
      </c>
      <c r="B34" s="116"/>
      <c r="C34" s="10" t="s">
        <v>63</v>
      </c>
      <c r="D34" s="14">
        <f>65000+800</f>
        <v>65800</v>
      </c>
      <c r="E34" s="11">
        <f>D34-G34</f>
        <v>65800</v>
      </c>
      <c r="F34" s="14"/>
      <c r="G34" s="14"/>
    </row>
    <row r="35" spans="1:7">
      <c r="A35" s="26" t="s">
        <v>144</v>
      </c>
      <c r="B35" s="117"/>
      <c r="C35" s="10" t="s">
        <v>121</v>
      </c>
      <c r="D35" s="14">
        <f>69700-69700+109000+23900</f>
        <v>132900</v>
      </c>
      <c r="E35" s="11">
        <f>D35-G35</f>
        <v>73900</v>
      </c>
      <c r="F35" s="14"/>
      <c r="G35" s="14">
        <f>69700-69700+59000</f>
        <v>59000</v>
      </c>
    </row>
    <row r="36" spans="1:7" ht="25.5">
      <c r="A36" s="58">
        <v>5</v>
      </c>
      <c r="B36" s="115" t="s">
        <v>17</v>
      </c>
      <c r="C36" s="28" t="s">
        <v>59</v>
      </c>
      <c r="D36" s="30">
        <f>SUM(D37:D39)</f>
        <v>1814100</v>
      </c>
      <c r="E36" s="30">
        <f>SUM(E37:E39)</f>
        <v>1508500</v>
      </c>
      <c r="F36" s="30">
        <f>SUM(F37:F39)</f>
        <v>157900</v>
      </c>
      <c r="G36" s="30">
        <f>SUM(G37:G39)</f>
        <v>305600</v>
      </c>
    </row>
    <row r="37" spans="1:7">
      <c r="A37" s="26" t="s">
        <v>134</v>
      </c>
      <c r="B37" s="116"/>
      <c r="C37" s="10" t="s">
        <v>62</v>
      </c>
      <c r="D37" s="17">
        <v>304900</v>
      </c>
      <c r="E37" s="11">
        <f>D37-G37</f>
        <v>304900</v>
      </c>
      <c r="F37" s="17">
        <v>157700</v>
      </c>
      <c r="G37" s="17"/>
    </row>
    <row r="38" spans="1:7">
      <c r="A38" s="26" t="s">
        <v>145</v>
      </c>
      <c r="B38" s="116"/>
      <c r="C38" s="10" t="s">
        <v>196</v>
      </c>
      <c r="D38" s="17">
        <f>44200+82000+30300</f>
        <v>156500</v>
      </c>
      <c r="E38" s="11">
        <f>D38-G38</f>
        <v>0</v>
      </c>
      <c r="F38" s="17"/>
      <c r="G38" s="17">
        <f>44200+82000+30300</f>
        <v>156500</v>
      </c>
    </row>
    <row r="39" spans="1:7">
      <c r="A39" s="26" t="s">
        <v>190</v>
      </c>
      <c r="B39" s="117"/>
      <c r="C39" s="10" t="s">
        <v>61</v>
      </c>
      <c r="D39" s="17">
        <f>1307100+10000+36400-800</f>
        <v>1352700</v>
      </c>
      <c r="E39" s="11">
        <f>D39-G39</f>
        <v>1203600</v>
      </c>
      <c r="F39" s="17">
        <f>0+200</f>
        <v>200</v>
      </c>
      <c r="G39" s="17">
        <f>127100+12000+10000</f>
        <v>149100</v>
      </c>
    </row>
    <row r="40" spans="1:7" ht="25.5">
      <c r="A40" s="58" t="s">
        <v>37</v>
      </c>
      <c r="B40" s="115" t="s">
        <v>27</v>
      </c>
      <c r="C40" s="28" t="s">
        <v>105</v>
      </c>
      <c r="D40" s="30">
        <f>SUM(D41:D43)</f>
        <v>3693500</v>
      </c>
      <c r="E40" s="30">
        <f>SUM(E41:E43)</f>
        <v>2217200</v>
      </c>
      <c r="F40" s="30">
        <f>SUM(F41:F43)</f>
        <v>145700</v>
      </c>
      <c r="G40" s="30">
        <f>SUM(G41:G43)</f>
        <v>1476300</v>
      </c>
    </row>
    <row r="41" spans="1:7" ht="12.75" customHeight="1">
      <c r="A41" s="26" t="s">
        <v>146</v>
      </c>
      <c r="B41" s="116"/>
      <c r="C41" s="10" t="s">
        <v>61</v>
      </c>
      <c r="D41" s="14">
        <f>1932600-10000+69700-14000-69700-52700+188700+1800</f>
        <v>2046400</v>
      </c>
      <c r="E41" s="11">
        <f>D41-G41</f>
        <v>1529600</v>
      </c>
      <c r="F41" s="14">
        <v>145700</v>
      </c>
      <c r="G41" s="14">
        <f>567500+43100-50900-38900-4000</f>
        <v>516800</v>
      </c>
    </row>
    <row r="42" spans="1:7" ht="12.75" customHeight="1">
      <c r="A42" s="26" t="s">
        <v>57</v>
      </c>
      <c r="B42" s="116"/>
      <c r="C42" s="10" t="s">
        <v>62</v>
      </c>
      <c r="D42" s="14">
        <v>10200</v>
      </c>
      <c r="E42" s="11">
        <f>D42-G42</f>
        <v>10200</v>
      </c>
      <c r="F42" s="14"/>
      <c r="G42" s="14"/>
    </row>
    <row r="43" spans="1:7" ht="12.75" customHeight="1">
      <c r="A43" s="26" t="s">
        <v>147</v>
      </c>
      <c r="B43" s="117"/>
      <c r="C43" s="10" t="s">
        <v>121</v>
      </c>
      <c r="D43" s="14">
        <f>1197700+69700+140000+229500</f>
        <v>1636900</v>
      </c>
      <c r="E43" s="11">
        <f>D43-G43</f>
        <v>677400</v>
      </c>
      <c r="F43" s="14"/>
      <c r="G43" s="14">
        <f>700000+30000+229500</f>
        <v>959500</v>
      </c>
    </row>
    <row r="44" spans="1:7" ht="12.75" customHeight="1">
      <c r="A44" s="26" t="s">
        <v>148</v>
      </c>
      <c r="B44" s="115" t="s">
        <v>28</v>
      </c>
      <c r="C44" s="13" t="s">
        <v>29</v>
      </c>
      <c r="D44" s="36">
        <f>D45+D46+D47</f>
        <v>1744500</v>
      </c>
      <c r="E44" s="36">
        <f>E45+E46+E47</f>
        <v>197700</v>
      </c>
      <c r="F44" s="36">
        <f>F45+F46+F47</f>
        <v>13600</v>
      </c>
      <c r="G44" s="36">
        <f>G45+G46+G47</f>
        <v>1546800</v>
      </c>
    </row>
    <row r="45" spans="1:7" ht="12.75" customHeight="1">
      <c r="A45" s="26" t="s">
        <v>149</v>
      </c>
      <c r="B45" s="116"/>
      <c r="C45" s="10" t="s">
        <v>61</v>
      </c>
      <c r="D45" s="14">
        <f>372800+56600+117900+2600</f>
        <v>549900</v>
      </c>
      <c r="E45" s="53">
        <f>D45-G45</f>
        <v>62500</v>
      </c>
      <c r="F45" s="12">
        <f>0+2000</f>
        <v>2000</v>
      </c>
      <c r="G45" s="12">
        <f>336200-300-21600+5200+55200+110100+2600</f>
        <v>487400</v>
      </c>
    </row>
    <row r="46" spans="1:7" ht="12.75" customHeight="1">
      <c r="A46" s="26" t="s">
        <v>150</v>
      </c>
      <c r="B46" s="116"/>
      <c r="C46" s="10" t="s">
        <v>121</v>
      </c>
      <c r="D46" s="14">
        <f>277900+400+3900+29500+80600</f>
        <v>392300</v>
      </c>
      <c r="E46" s="11">
        <f>D46-G46</f>
        <v>4300</v>
      </c>
      <c r="F46" s="12"/>
      <c r="G46" s="12">
        <f>277400+400+2000+29400+78800</f>
        <v>388000</v>
      </c>
    </row>
    <row r="47" spans="1:7">
      <c r="A47" s="26" t="s">
        <v>151</v>
      </c>
      <c r="B47" s="117"/>
      <c r="C47" s="10" t="s">
        <v>196</v>
      </c>
      <c r="D47" s="14">
        <f>367000+45000+93100-44200+74700+209900+56800</f>
        <v>802300</v>
      </c>
      <c r="E47" s="11">
        <f>D47-G47</f>
        <v>130900</v>
      </c>
      <c r="F47" s="12">
        <f>0+10900+700</f>
        <v>11600</v>
      </c>
      <c r="G47" s="12">
        <f>340800+22900+80700-44200+35500+177500+58200</f>
        <v>671400</v>
      </c>
    </row>
    <row r="48" spans="1:7">
      <c r="A48" s="6"/>
      <c r="B48" s="60"/>
      <c r="C48" s="40" t="s">
        <v>71</v>
      </c>
      <c r="D48" s="16">
        <f>SUM(D44+D40+D36+D31+D27+D22+D16)</f>
        <v>34354600</v>
      </c>
      <c r="E48" s="16">
        <f>SUM(E44+E40+E36+E31+E27+E22+E16)</f>
        <v>30244500</v>
      </c>
      <c r="F48" s="16">
        <f>F44+F40+F36+F31+F27+F22+F16</f>
        <v>19408100</v>
      </c>
      <c r="G48" s="16">
        <f>SUM(G44+G40+G36+G31+G27+G22+G16)</f>
        <v>4110100</v>
      </c>
    </row>
    <row r="49" spans="1:9">
      <c r="A49" s="87"/>
      <c r="B49" s="87"/>
      <c r="C49" s="87"/>
      <c r="D49" s="87"/>
      <c r="E49" s="87"/>
      <c r="F49" s="87"/>
      <c r="G49" s="87"/>
    </row>
    <row r="50" spans="1:9">
      <c r="A50" s="22"/>
      <c r="B50" s="22"/>
      <c r="C50" s="22"/>
      <c r="D50" s="22"/>
      <c r="E50" s="22"/>
      <c r="F50" s="22"/>
      <c r="G50" s="22"/>
    </row>
    <row r="51" spans="1:9">
      <c r="A51" s="22"/>
      <c r="B51" s="22"/>
      <c r="C51" s="38" t="s">
        <v>61</v>
      </c>
      <c r="D51" s="51">
        <f>D17+D23+D29+D32+D39+D41+D45</f>
        <v>17991200</v>
      </c>
      <c r="E51" s="51">
        <f>E17+E23+E29+E32+E39+E41+E45</f>
        <v>16150300</v>
      </c>
      <c r="F51" s="51">
        <f>F17+F23+F29+F32+F39+F41+F45</f>
        <v>9189300</v>
      </c>
      <c r="G51" s="51">
        <f>G17+G23+G29+G32+G39+G41+G45</f>
        <v>1840900</v>
      </c>
    </row>
    <row r="52" spans="1:9">
      <c r="A52" s="22"/>
      <c r="B52" s="22"/>
      <c r="C52" s="38" t="s">
        <v>129</v>
      </c>
      <c r="D52" s="48">
        <f>D18</f>
        <v>7614100</v>
      </c>
      <c r="E52" s="48">
        <f>E18</f>
        <v>7598700</v>
      </c>
      <c r="F52" s="39">
        <f>F18</f>
        <v>7232100</v>
      </c>
      <c r="G52" s="48">
        <f>G18</f>
        <v>15400</v>
      </c>
    </row>
    <row r="53" spans="1:9">
      <c r="A53" s="22"/>
      <c r="B53" s="22"/>
      <c r="C53" s="38" t="s">
        <v>62</v>
      </c>
      <c r="D53" s="51">
        <f>D25+D33+D37+D42</f>
        <v>3123200</v>
      </c>
      <c r="E53" s="51">
        <f>E25+E33+E37+E42</f>
        <v>3123200</v>
      </c>
      <c r="F53" s="54">
        <f>F25+F33+F37+F42</f>
        <v>1841000</v>
      </c>
      <c r="G53" s="51">
        <f>G25+G33+G37+G42</f>
        <v>0</v>
      </c>
    </row>
    <row r="54" spans="1:9">
      <c r="C54" s="38" t="s">
        <v>121</v>
      </c>
      <c r="D54" s="51">
        <f>D46+D43+D35+D28+D24+D19</f>
        <v>3030900</v>
      </c>
      <c r="E54" s="51">
        <f>E46+E43+E35+E28+E24+E19</f>
        <v>1619400</v>
      </c>
      <c r="F54" s="54">
        <f>F46+F43+F35+F28+F24+F19</f>
        <v>407100</v>
      </c>
      <c r="G54" s="51">
        <f>G46+G43+G35+G28+G24+G19</f>
        <v>1411500</v>
      </c>
    </row>
    <row r="55" spans="1:9">
      <c r="C55" s="38" t="s">
        <v>63</v>
      </c>
      <c r="D55" s="51">
        <f>D20+D26+D30+D34</f>
        <v>1628000</v>
      </c>
      <c r="E55" s="51">
        <f>E20+E26+E30+E34</f>
        <v>1613600</v>
      </c>
      <c r="F55" s="54">
        <f>F20+F26+F30+F34</f>
        <v>727000</v>
      </c>
      <c r="G55" s="51">
        <f>G20+G26+G30+G34</f>
        <v>14400</v>
      </c>
    </row>
    <row r="56" spans="1:9">
      <c r="C56" s="38" t="s">
        <v>196</v>
      </c>
      <c r="D56" s="51">
        <f>D21+D38+D47</f>
        <v>967200</v>
      </c>
      <c r="E56" s="51">
        <f>E21+E38+E47</f>
        <v>139300</v>
      </c>
      <c r="F56" s="51">
        <f>F21+F38+F47</f>
        <v>11600</v>
      </c>
      <c r="G56" s="51">
        <f>G21+G38+G47</f>
        <v>827900</v>
      </c>
    </row>
    <row r="57" spans="1:9">
      <c r="C57" s="40" t="s">
        <v>131</v>
      </c>
      <c r="D57" s="52">
        <f>SUM(D51:D56)</f>
        <v>34354600</v>
      </c>
      <c r="E57" s="52">
        <f>SUM(E51:E56)</f>
        <v>30244500</v>
      </c>
      <c r="F57" s="52">
        <f>SUM(F51:F56)</f>
        <v>19408100</v>
      </c>
      <c r="G57" s="52">
        <f>SUM(G51:G56)</f>
        <v>4110100</v>
      </c>
    </row>
    <row r="59" spans="1:9">
      <c r="A59" s="61"/>
      <c r="B59" s="61"/>
      <c r="C59" s="92" t="s">
        <v>152</v>
      </c>
      <c r="D59" s="92"/>
      <c r="E59" s="92"/>
      <c r="F59" s="92"/>
      <c r="G59" s="92"/>
      <c r="H59" s="61"/>
      <c r="I59" s="61"/>
    </row>
  </sheetData>
  <mergeCells count="25">
    <mergeCell ref="G13:G14"/>
    <mergeCell ref="E1:G1"/>
    <mergeCell ref="E2:G2"/>
    <mergeCell ref="E3:G3"/>
    <mergeCell ref="E4:G4"/>
    <mergeCell ref="D10:E10"/>
    <mergeCell ref="F10:G10"/>
    <mergeCell ref="A9:G9"/>
    <mergeCell ref="E7:G7"/>
    <mergeCell ref="C59:G59"/>
    <mergeCell ref="A49:G49"/>
    <mergeCell ref="A11:A14"/>
    <mergeCell ref="B11:B14"/>
    <mergeCell ref="D12:D14"/>
    <mergeCell ref="E12:G12"/>
    <mergeCell ref="B44:B47"/>
    <mergeCell ref="B16:B21"/>
    <mergeCell ref="B22:B26"/>
    <mergeCell ref="B27:B30"/>
    <mergeCell ref="B31:B35"/>
    <mergeCell ref="B36:B39"/>
    <mergeCell ref="B40:B43"/>
    <mergeCell ref="C11:C14"/>
    <mergeCell ref="D11:G11"/>
    <mergeCell ref="E13:F13"/>
  </mergeCells>
  <phoneticPr fontId="4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pr.pajamos</vt:lpstr>
      <vt:lpstr>2 pr. asignav. valdytojus</vt:lpstr>
      <vt:lpstr>3 pr. asignav. valdyt.šaltin</vt:lpstr>
      <vt:lpstr>4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BiruteZvi</cp:lastModifiedBy>
  <cp:lastPrinted>2021-09-22T05:57:38Z</cp:lastPrinted>
  <dcterms:created xsi:type="dcterms:W3CDTF">2011-02-01T07:14:51Z</dcterms:created>
  <dcterms:modified xsi:type="dcterms:W3CDTF">2021-09-30T09:42:20Z</dcterms:modified>
</cp:coreProperties>
</file>